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BIWS Dropbox\Brian DeChesare\BIWS-All-Courses\100-Bonus-Case-Studies\109-LBO-Models\109-21-Cash-Free-Debt-Free-Deals-2.0\"/>
    </mc:Choice>
  </mc:AlternateContent>
  <xr:revisionPtr revIDLastSave="0" documentId="13_ncr:1_{4BCA9F20-9334-4628-81A9-31FEE8781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sh_Free_Debt_Free_LBO" sheetId="1" r:id="rId1"/>
  </sheets>
  <definedNames>
    <definedName name="Assume_Debt">Cash_Free_Debt_Free_LBO!$D$12</definedName>
    <definedName name="Cash_Free_Debt_Free">Cash_Free_Debt_Free_LBO!$D$11</definedName>
    <definedName name="Company_Name">Cash_Free_Debt_Free_LBO!$D$7</definedName>
    <definedName name="Exit_Multiple">Cash_Free_Debt_Free_LBO!$K$12</definedName>
    <definedName name="Exit_Year">Cash_Free_Debt_Free_LBO!$K$10</definedName>
    <definedName name="Hist_Year">Cash_Free_Debt_Free_LBO!$D$8</definedName>
    <definedName name="LTM_EBITDA">Cash_Free_Debt_Free_LBO!$D$15</definedName>
    <definedName name="Min_Cash">Cash_Free_Debt_Free_LBO!$K$7</definedName>
    <definedName name="_xlnm.Print_Area" localSheetId="0">Cash_Free_Debt_Free_LBO!$A$1:$P$289</definedName>
    <definedName name="Purchase_Multiple">Cash_Free_Debt_Free_LBO!$D$16</definedName>
    <definedName name="Tax_Rate">Cash_Free_Debt_Free_LBO!$K$8</definedName>
    <definedName name="Units">Cash_Free_Debt_Free_LBO!$D$9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4" i="1" l="1"/>
  <c r="J247" i="1"/>
  <c r="J240" i="1"/>
  <c r="J228" i="1"/>
  <c r="H152" i="1"/>
  <c r="I147" i="1"/>
  <c r="I126" i="1"/>
  <c r="H126" i="1"/>
  <c r="J126" i="1" l="1"/>
  <c r="F283" i="1"/>
  <c r="G283" i="1" s="1"/>
  <c r="H283" i="1" s="1"/>
  <c r="I283" i="1" s="1"/>
  <c r="J283" i="1" s="1"/>
  <c r="K283" i="1" s="1"/>
  <c r="L283" i="1" s="1"/>
  <c r="M283" i="1" s="1"/>
  <c r="D273" i="1"/>
  <c r="D274" i="1" s="1"/>
  <c r="D275" i="1" s="1"/>
  <c r="D276" i="1" s="1"/>
  <c r="D277" i="1" s="1"/>
  <c r="D278" i="1" s="1"/>
  <c r="D279" i="1" s="1"/>
  <c r="D280" i="1" s="1"/>
  <c r="L271" i="1"/>
  <c r="M271" i="1" s="1"/>
  <c r="F271" i="1"/>
  <c r="G271" i="1" s="1"/>
  <c r="H271" i="1" s="1"/>
  <c r="I271" i="1" s="1"/>
  <c r="J271" i="1" s="1"/>
  <c r="K271" i="1" s="1"/>
  <c r="K255" i="1"/>
  <c r="L255" i="1" s="1"/>
  <c r="M255" i="1" s="1"/>
  <c r="N255" i="1" s="1"/>
  <c r="O255" i="1" s="1"/>
  <c r="M252" i="1"/>
  <c r="N252" i="1" s="1"/>
  <c r="O252" i="1" s="1"/>
  <c r="L252" i="1"/>
  <c r="I250" i="1"/>
  <c r="H250" i="1"/>
  <c r="H249" i="1"/>
  <c r="D246" i="1"/>
  <c r="D245" i="1"/>
  <c r="D244" i="1"/>
  <c r="D239" i="1"/>
  <c r="D238" i="1"/>
  <c r="D233" i="1"/>
  <c r="D232" i="1"/>
  <c r="D227" i="1"/>
  <c r="O200" i="1"/>
  <c r="N200" i="1"/>
  <c r="L200" i="1"/>
  <c r="K200" i="1"/>
  <c r="G200" i="1"/>
  <c r="F200" i="1"/>
  <c r="M200" i="1" s="1"/>
  <c r="E199" i="1"/>
  <c r="D199" i="1"/>
  <c r="E198" i="1"/>
  <c r="D198" i="1"/>
  <c r="E197" i="1"/>
  <c r="D197" i="1"/>
  <c r="I191" i="1"/>
  <c r="H191" i="1"/>
  <c r="H190" i="1"/>
  <c r="E188" i="1"/>
  <c r="F184" i="1" s="1"/>
  <c r="I159" i="1"/>
  <c r="H159" i="1"/>
  <c r="H158" i="1"/>
  <c r="G154" i="1"/>
  <c r="F154" i="1"/>
  <c r="E154" i="1"/>
  <c r="J149" i="1"/>
  <c r="H148" i="1"/>
  <c r="J143" i="1"/>
  <c r="J142" i="1"/>
  <c r="J135" i="1"/>
  <c r="J128" i="1"/>
  <c r="J127" i="1"/>
  <c r="I123" i="1"/>
  <c r="H123" i="1"/>
  <c r="H122" i="1"/>
  <c r="G107" i="1"/>
  <c r="F107" i="1"/>
  <c r="G104" i="1"/>
  <c r="F104" i="1"/>
  <c r="G103" i="1"/>
  <c r="F103" i="1"/>
  <c r="I101" i="1"/>
  <c r="H101" i="1"/>
  <c r="H100" i="1"/>
  <c r="K97" i="1"/>
  <c r="L97" i="1" s="1"/>
  <c r="M97" i="1" s="1"/>
  <c r="N97" i="1" s="1"/>
  <c r="O97" i="1" s="1"/>
  <c r="G95" i="1"/>
  <c r="G92" i="1"/>
  <c r="F92" i="1"/>
  <c r="G85" i="1"/>
  <c r="F85" i="1"/>
  <c r="G81" i="1"/>
  <c r="G72" i="1"/>
  <c r="K71" i="1"/>
  <c r="K103" i="1" s="1"/>
  <c r="J69" i="1"/>
  <c r="J101" i="1" s="1"/>
  <c r="L59" i="1"/>
  <c r="E57" i="1"/>
  <c r="L55" i="1"/>
  <c r="H132" i="1" s="1"/>
  <c r="J132" i="1" s="1"/>
  <c r="L54" i="1"/>
  <c r="E54" i="1"/>
  <c r="D39" i="1"/>
  <c r="K34" i="1"/>
  <c r="K25" i="1"/>
  <c r="D19" i="1"/>
  <c r="L57" i="1" l="1"/>
  <c r="J123" i="1"/>
  <c r="K127" i="1" s="1"/>
  <c r="K135" i="1"/>
  <c r="K91" i="1"/>
  <c r="L71" i="1"/>
  <c r="K94" i="1"/>
  <c r="K172" i="1"/>
  <c r="F95" i="1"/>
  <c r="F81" i="1"/>
  <c r="J159" i="1"/>
  <c r="J250" i="1"/>
  <c r="J191" i="1"/>
  <c r="K27" i="1"/>
  <c r="M71" i="1" l="1"/>
  <c r="L103" i="1"/>
  <c r="K170" i="1"/>
  <c r="B2" i="1"/>
  <c r="N71" i="1" l="1"/>
  <c r="M103" i="1"/>
  <c r="L135" i="1"/>
  <c r="L91" i="1"/>
  <c r="L94" i="1"/>
  <c r="L127" i="1"/>
  <c r="O198" i="1"/>
  <c r="C204" i="1"/>
  <c r="C203" i="1"/>
  <c r="C198" i="1"/>
  <c r="C197" i="1"/>
  <c r="N103" i="1" l="1"/>
  <c r="O71" i="1"/>
  <c r="O103" i="1" s="1"/>
  <c r="L170" i="1"/>
  <c r="L172" i="1"/>
  <c r="M135" i="1"/>
  <c r="M94" i="1"/>
  <c r="M127" i="1"/>
  <c r="M170" i="1" s="1"/>
  <c r="M91" i="1"/>
  <c r="K198" i="1"/>
  <c r="L198" i="1"/>
  <c r="M198" i="1"/>
  <c r="N198" i="1"/>
  <c r="K36" i="1"/>
  <c r="H147" i="1" s="1"/>
  <c r="J147" i="1" s="1"/>
  <c r="K37" i="1"/>
  <c r="D38" i="1"/>
  <c r="G88" i="1"/>
  <c r="F88" i="1"/>
  <c r="K231" i="1" l="1"/>
  <c r="K232" i="1" s="1"/>
  <c r="N172" i="1"/>
  <c r="M172" i="1"/>
  <c r="K210" i="1"/>
  <c r="K184" i="1"/>
  <c r="N170" i="1"/>
  <c r="O135" i="1"/>
  <c r="O91" i="1"/>
  <c r="O127" i="1"/>
  <c r="O94" i="1"/>
  <c r="N127" i="1"/>
  <c r="O170" i="1" s="1"/>
  <c r="N135" i="1"/>
  <c r="N94" i="1"/>
  <c r="N91" i="1"/>
  <c r="G78" i="1"/>
  <c r="F78" i="1"/>
  <c r="G75" i="1"/>
  <c r="F75" i="1"/>
  <c r="K204" i="1" l="1"/>
  <c r="O172" i="1"/>
  <c r="K74" i="1"/>
  <c r="K104" i="1" s="1"/>
  <c r="K77" i="1"/>
  <c r="O213" i="1"/>
  <c r="N213" i="1"/>
  <c r="M213" i="1"/>
  <c r="L213" i="1"/>
  <c r="K213" i="1"/>
  <c r="E62" i="1"/>
  <c r="I133" i="1"/>
  <c r="E56" i="1"/>
  <c r="D20" i="1"/>
  <c r="K107" i="1" l="1"/>
  <c r="K149" i="1" s="1"/>
  <c r="K175" i="1" s="1"/>
  <c r="L77" i="1"/>
  <c r="L74" i="1"/>
  <c r="L104" i="1" s="1"/>
  <c r="K199" i="1"/>
  <c r="N197" i="1"/>
  <c r="L199" i="1"/>
  <c r="E60" i="1"/>
  <c r="O197" i="1"/>
  <c r="L197" i="1"/>
  <c r="O199" i="1"/>
  <c r="N113" i="1"/>
  <c r="N165" i="1" s="1"/>
  <c r="M113" i="1"/>
  <c r="M165" i="1" s="1"/>
  <c r="L113" i="1"/>
  <c r="L165" i="1" s="1"/>
  <c r="O113" i="1"/>
  <c r="O165" i="1" s="1"/>
  <c r="K113" i="1"/>
  <c r="K165" i="1" s="1"/>
  <c r="M199" i="1"/>
  <c r="K197" i="1"/>
  <c r="N199" i="1"/>
  <c r="M197" i="1"/>
  <c r="J129" i="1"/>
  <c r="J144" i="1"/>
  <c r="L107" i="1" l="1"/>
  <c r="L149" i="1" s="1"/>
  <c r="L175" i="1" s="1"/>
  <c r="M74" i="1"/>
  <c r="M104" i="1" s="1"/>
  <c r="M77" i="1"/>
  <c r="M107" i="1" l="1"/>
  <c r="M149" i="1" s="1"/>
  <c r="M175" i="1" s="1"/>
  <c r="N74" i="1"/>
  <c r="N104" i="1" s="1"/>
  <c r="N77" i="1"/>
  <c r="K179" i="1"/>
  <c r="K180" i="1" s="1"/>
  <c r="K110" i="1"/>
  <c r="K162" i="1" s="1"/>
  <c r="K132" i="1" s="1"/>
  <c r="N107" i="1" l="1"/>
  <c r="N149" i="1" s="1"/>
  <c r="N175" i="1" s="1"/>
  <c r="O77" i="1"/>
  <c r="O74" i="1"/>
  <c r="O104" i="1" s="1"/>
  <c r="L179" i="1"/>
  <c r="L180" i="1" s="1"/>
  <c r="L110" i="1"/>
  <c r="L162" i="1" s="1"/>
  <c r="L132" i="1" s="1"/>
  <c r="O107" i="1" l="1"/>
  <c r="O149" i="1" s="1"/>
  <c r="O175" i="1" s="1"/>
  <c r="M179" i="1"/>
  <c r="M180" i="1" s="1"/>
  <c r="M110" i="1"/>
  <c r="M162" i="1" s="1"/>
  <c r="M132" i="1" s="1"/>
  <c r="N110" i="1" l="1"/>
  <c r="N162" i="1" s="1"/>
  <c r="N132" i="1" s="1"/>
  <c r="N179" i="1"/>
  <c r="N180" i="1" s="1"/>
  <c r="O110" i="1" l="1"/>
  <c r="O162" i="1" s="1"/>
  <c r="O132" i="1" s="1"/>
  <c r="O179" i="1"/>
  <c r="O180" i="1" s="1"/>
  <c r="G87" i="1" l="1"/>
  <c r="F87" i="1"/>
  <c r="G98" i="1"/>
  <c r="F98" i="1"/>
  <c r="G97" i="1"/>
  <c r="F97" i="1"/>
  <c r="G94" i="1"/>
  <c r="F94" i="1"/>
  <c r="G91" i="1"/>
  <c r="F91" i="1"/>
  <c r="K111" i="1" l="1"/>
  <c r="K163" i="1" s="1"/>
  <c r="L111" i="1" l="1"/>
  <c r="L163" i="1" s="1"/>
  <c r="M111" i="1" l="1"/>
  <c r="M163" i="1" s="1"/>
  <c r="O111" i="1" l="1"/>
  <c r="O163" i="1" s="1"/>
  <c r="N111" i="1"/>
  <c r="N163" i="1" s="1"/>
  <c r="C49" i="1" l="1"/>
  <c r="D250" i="1"/>
  <c r="K249" i="1"/>
  <c r="E249" i="1"/>
  <c r="D191" i="1"/>
  <c r="K190" i="1"/>
  <c r="E190" i="1"/>
  <c r="D159" i="1"/>
  <c r="K158" i="1"/>
  <c r="E158" i="1"/>
  <c r="D123" i="1"/>
  <c r="K122" i="1"/>
  <c r="E122" i="1"/>
  <c r="D101" i="1"/>
  <c r="K100" i="1"/>
  <c r="E100" i="1"/>
  <c r="C199" i="1" l="1"/>
  <c r="C205" i="1"/>
  <c r="F180" i="1"/>
  <c r="G180" i="1"/>
  <c r="E150" i="1"/>
  <c r="E136" i="1"/>
  <c r="E144" i="1"/>
  <c r="E129" i="1"/>
  <c r="E138" i="1" s="1"/>
  <c r="E156" i="1" s="1"/>
  <c r="F136" i="1" l="1"/>
  <c r="F105" i="1"/>
  <c r="F109" i="1" s="1"/>
  <c r="L105" i="1" l="1"/>
  <c r="L109" i="1" s="1"/>
  <c r="L254" i="1" s="1"/>
  <c r="L256" i="1" s="1"/>
  <c r="K105" i="1"/>
  <c r="K109" i="1" s="1"/>
  <c r="K254" i="1" s="1"/>
  <c r="K256" i="1" s="1"/>
  <c r="F114" i="1"/>
  <c r="F118" i="1" s="1"/>
  <c r="G136" i="1"/>
  <c r="G105" i="1"/>
  <c r="G109" i="1" s="1"/>
  <c r="D15" i="1" s="1"/>
  <c r="L36" i="1" l="1"/>
  <c r="D27" i="1"/>
  <c r="L28" i="1"/>
  <c r="E38" i="1"/>
  <c r="D26" i="1"/>
  <c r="D37" i="1"/>
  <c r="D28" i="1"/>
  <c r="L27" i="1"/>
  <c r="D36" i="1"/>
  <c r="D35" i="1"/>
  <c r="L38" i="1"/>
  <c r="L37" i="1"/>
  <c r="D18" i="1"/>
  <c r="K26" i="1" s="1"/>
  <c r="L26" i="1" s="1"/>
  <c r="E39" i="1"/>
  <c r="F120" i="1"/>
  <c r="F161" i="1" s="1"/>
  <c r="M105" i="1" l="1"/>
  <c r="M109" i="1" s="1"/>
  <c r="M254" i="1" s="1"/>
  <c r="M256" i="1" s="1"/>
  <c r="G114" i="1"/>
  <c r="G118" i="1" s="1"/>
  <c r="N105" i="1" l="1"/>
  <c r="N109" i="1" s="1"/>
  <c r="N254" i="1" s="1"/>
  <c r="N256" i="1" s="1"/>
  <c r="O105" i="1"/>
  <c r="O109" i="1" s="1"/>
  <c r="O254" i="1" s="1"/>
  <c r="O256" i="1" s="1"/>
  <c r="K237" i="1"/>
  <c r="K205" i="1" s="1"/>
  <c r="F176" i="1"/>
  <c r="F182" i="1" s="1"/>
  <c r="F185" i="1" s="1"/>
  <c r="F144" i="1"/>
  <c r="F150" i="1"/>
  <c r="K243" i="1" l="1"/>
  <c r="K206" i="1" s="1"/>
  <c r="K245" i="1"/>
  <c r="K166" i="1" s="1"/>
  <c r="K225" i="1"/>
  <c r="K203" i="1" s="1"/>
  <c r="D21" i="1"/>
  <c r="G120" i="1"/>
  <c r="G161" i="1" s="1"/>
  <c r="F188" i="1"/>
  <c r="G184" i="1" s="1"/>
  <c r="G144" i="1"/>
  <c r="K35" i="1" l="1"/>
  <c r="L35" i="1" s="1"/>
  <c r="E55" i="1"/>
  <c r="E58" i="1"/>
  <c r="L29" i="1"/>
  <c r="K29" i="1"/>
  <c r="D29" i="1" s="1"/>
  <c r="K244" i="1"/>
  <c r="G176" i="1"/>
  <c r="G182" i="1" s="1"/>
  <c r="G185" i="1" s="1"/>
  <c r="G150" i="1"/>
  <c r="F129" i="1"/>
  <c r="F138" i="1" s="1"/>
  <c r="F156" i="1" s="1"/>
  <c r="E29" i="1" l="1"/>
  <c r="L60" i="1"/>
  <c r="L62" i="1" s="1"/>
  <c r="L64" i="1" s="1"/>
  <c r="K39" i="1"/>
  <c r="D40" i="1" s="1"/>
  <c r="L39" i="1"/>
  <c r="E30" i="1"/>
  <c r="D30" i="1"/>
  <c r="K238" i="1"/>
  <c r="K212" i="1" s="1"/>
  <c r="K186" i="1" s="1"/>
  <c r="G188" i="1"/>
  <c r="J263" i="1" l="1"/>
  <c r="I152" i="1"/>
  <c r="J152" i="1" s="1"/>
  <c r="E40" i="1"/>
  <c r="F28" i="1"/>
  <c r="F26" i="1"/>
  <c r="F27" i="1"/>
  <c r="F29" i="1"/>
  <c r="L66" i="1"/>
  <c r="E61" i="1"/>
  <c r="K207" i="1"/>
  <c r="K116" i="1" s="1"/>
  <c r="G129" i="1"/>
  <c r="G138" i="1" s="1"/>
  <c r="G156" i="1" s="1"/>
  <c r="I148" i="1" l="1"/>
  <c r="J148" i="1" s="1"/>
  <c r="E63" i="1"/>
  <c r="H134" i="1"/>
  <c r="J134" i="1" s="1"/>
  <c r="E64" i="1"/>
  <c r="H133" i="1" s="1"/>
  <c r="J133" i="1" s="1"/>
  <c r="K133" i="1" s="1"/>
  <c r="L133" i="1" s="1"/>
  <c r="M133" i="1" s="1"/>
  <c r="N133" i="1" s="1"/>
  <c r="O133" i="1" s="1"/>
  <c r="J150" i="1"/>
  <c r="J136" i="1"/>
  <c r="J138" i="1" s="1"/>
  <c r="K112" i="1"/>
  <c r="L112" i="1"/>
  <c r="N112" i="1"/>
  <c r="O112" i="1"/>
  <c r="M112" i="1"/>
  <c r="D41" i="1"/>
  <c r="E41" i="1"/>
  <c r="F30" i="1"/>
  <c r="G69" i="1"/>
  <c r="J154" i="1" l="1"/>
  <c r="J156" i="1" s="1"/>
  <c r="F38" i="1"/>
  <c r="F39" i="1"/>
  <c r="F37" i="1"/>
  <c r="F35" i="1"/>
  <c r="F36" i="1"/>
  <c r="F40" i="1"/>
  <c r="M164" i="1"/>
  <c r="M167" i="1" s="1"/>
  <c r="M114" i="1"/>
  <c r="O114" i="1"/>
  <c r="O164" i="1"/>
  <c r="O167" i="1" s="1"/>
  <c r="N114" i="1"/>
  <c r="N164" i="1"/>
  <c r="N167" i="1" s="1"/>
  <c r="L114" i="1"/>
  <c r="L164" i="1"/>
  <c r="L167" i="1" s="1"/>
  <c r="K114" i="1"/>
  <c r="K164" i="1"/>
  <c r="K134" i="1" s="1"/>
  <c r="K69" i="1"/>
  <c r="G101" i="1"/>
  <c r="G159" i="1"/>
  <c r="G191" i="1"/>
  <c r="G250" i="1"/>
  <c r="G123" i="1"/>
  <c r="F69" i="1"/>
  <c r="G83" i="1" s="1"/>
  <c r="L134" i="1" l="1"/>
  <c r="M134" i="1" s="1"/>
  <c r="N134" i="1" s="1"/>
  <c r="O134" i="1" s="1"/>
  <c r="K118" i="1"/>
  <c r="K119" i="1" s="1"/>
  <c r="F41" i="1"/>
  <c r="K167" i="1"/>
  <c r="G82" i="1"/>
  <c r="F191" i="1"/>
  <c r="F101" i="1"/>
  <c r="F159" i="1"/>
  <c r="F123" i="1"/>
  <c r="F250" i="1"/>
  <c r="E69" i="1"/>
  <c r="F83" i="1" s="1"/>
  <c r="L69" i="1"/>
  <c r="K101" i="1"/>
  <c r="K159" i="1"/>
  <c r="K191" i="1"/>
  <c r="K250" i="1"/>
  <c r="K263" i="1" s="1"/>
  <c r="K123" i="1"/>
  <c r="K120" i="1" l="1"/>
  <c r="K161" i="1" s="1"/>
  <c r="K152" i="1" s="1"/>
  <c r="K168" i="1"/>
  <c r="K143" i="1"/>
  <c r="K174" i="1" s="1"/>
  <c r="K148" i="1"/>
  <c r="K136" i="1"/>
  <c r="K128" i="1"/>
  <c r="K142" i="1"/>
  <c r="K173" i="1" s="1"/>
  <c r="F82" i="1"/>
  <c r="M69" i="1"/>
  <c r="L159" i="1"/>
  <c r="L250" i="1"/>
  <c r="L263" i="1" s="1"/>
  <c r="L123" i="1"/>
  <c r="L101" i="1"/>
  <c r="L191" i="1"/>
  <c r="E191" i="1"/>
  <c r="E123" i="1"/>
  <c r="E101" i="1"/>
  <c r="E250" i="1"/>
  <c r="E159" i="1"/>
  <c r="K171" i="1" l="1"/>
  <c r="K176" i="1" s="1"/>
  <c r="K182" i="1" s="1"/>
  <c r="K144" i="1"/>
  <c r="L136" i="1"/>
  <c r="L142" i="1"/>
  <c r="L173" i="1" s="1"/>
  <c r="L128" i="1"/>
  <c r="N69" i="1"/>
  <c r="M250" i="1"/>
  <c r="M263" i="1" s="1"/>
  <c r="M123" i="1"/>
  <c r="M101" i="1"/>
  <c r="M191" i="1"/>
  <c r="M159" i="1"/>
  <c r="C50" i="1"/>
  <c r="K185" i="1" l="1"/>
  <c r="K211" i="1"/>
  <c r="K214" i="1" s="1"/>
  <c r="L171" i="1"/>
  <c r="C206" i="1"/>
  <c r="C200" i="1"/>
  <c r="M136" i="1"/>
  <c r="M142" i="1"/>
  <c r="M173" i="1" s="1"/>
  <c r="M128" i="1"/>
  <c r="M171" i="1" s="1"/>
  <c r="O69" i="1"/>
  <c r="N250" i="1"/>
  <c r="N263" i="1" s="1"/>
  <c r="N123" i="1"/>
  <c r="N191" i="1"/>
  <c r="N101" i="1"/>
  <c r="N159" i="1"/>
  <c r="K226" i="1" l="1"/>
  <c r="O136" i="1"/>
  <c r="N136" i="1"/>
  <c r="K227" i="1"/>
  <c r="N142" i="1"/>
  <c r="N173" i="1" s="1"/>
  <c r="N128" i="1"/>
  <c r="O123" i="1"/>
  <c r="O191" i="1"/>
  <c r="O101" i="1"/>
  <c r="O159" i="1"/>
  <c r="O250" i="1"/>
  <c r="E270" i="1"/>
  <c r="N171" i="1" l="1"/>
  <c r="K215" i="1"/>
  <c r="K228" i="1"/>
  <c r="L225" i="1" s="1"/>
  <c r="L203" i="1" s="1"/>
  <c r="O128" i="1"/>
  <c r="O171" i="1" s="1"/>
  <c r="O142" i="1"/>
  <c r="O173" i="1" s="1"/>
  <c r="D284" i="1" a="1"/>
  <c r="K216" i="1" l="1"/>
  <c r="D285" i="1"/>
  <c r="D284" i="1"/>
  <c r="D288" i="1"/>
  <c r="D287" i="1"/>
  <c r="D286" i="1"/>
  <c r="K233" i="1" l="1"/>
  <c r="K217" i="1" l="1"/>
  <c r="K234" i="1"/>
  <c r="L231" i="1" s="1"/>
  <c r="L204" i="1" l="1"/>
  <c r="L232" i="1"/>
  <c r="K218" i="1"/>
  <c r="K239" i="1" l="1"/>
  <c r="K240" i="1" l="1"/>
  <c r="L237" i="1" s="1"/>
  <c r="K219" i="1"/>
  <c r="K220" i="1" l="1"/>
  <c r="L205" i="1"/>
  <c r="L238" i="1"/>
  <c r="K246" i="1" l="1"/>
  <c r="K221" i="1" l="1"/>
  <c r="K247" i="1"/>
  <c r="L243" i="1" l="1"/>
  <c r="L245" i="1"/>
  <c r="L166" i="1" s="1"/>
  <c r="K187" i="1"/>
  <c r="K222" i="1"/>
  <c r="K147" i="1" l="1"/>
  <c r="K188" i="1"/>
  <c r="K126" i="1" s="1"/>
  <c r="L206" i="1"/>
  <c r="L207" i="1" s="1"/>
  <c r="L116" i="1" s="1"/>
  <c r="L118" i="1" s="1"/>
  <c r="L119" i="1" s="1"/>
  <c r="L244" i="1"/>
  <c r="L212" i="1" s="1"/>
  <c r="L186" i="1" s="1"/>
  <c r="L120" i="1" l="1"/>
  <c r="L161" i="1" s="1"/>
  <c r="L168" i="1"/>
  <c r="L148" i="1" s="1"/>
  <c r="L143" i="1"/>
  <c r="L210" i="1"/>
  <c r="L184" i="1"/>
  <c r="K129" i="1"/>
  <c r="K138" i="1" s="1"/>
  <c r="K257" i="1"/>
  <c r="K258" i="1" s="1"/>
  <c r="K150" i="1"/>
  <c r="K154" i="1" s="1"/>
  <c r="K260" i="1" l="1"/>
  <c r="K261" i="1"/>
  <c r="K156" i="1"/>
  <c r="L174" i="1"/>
  <c r="L144" i="1"/>
  <c r="L152" i="1"/>
  <c r="L176" i="1"/>
  <c r="L182" i="1" s="1"/>
  <c r="L211" i="1" l="1"/>
  <c r="L214" i="1" s="1"/>
  <c r="L185" i="1"/>
  <c r="L226" i="1" l="1"/>
  <c r="L227" i="1"/>
  <c r="L228" i="1" l="1"/>
  <c r="M225" i="1" s="1"/>
  <c r="M203" i="1" s="1"/>
  <c r="L215" i="1"/>
  <c r="L216" i="1" l="1"/>
  <c r="L233" i="1" l="1"/>
  <c r="L217" i="1" l="1"/>
  <c r="L234" i="1"/>
  <c r="M231" i="1" s="1"/>
  <c r="M204" i="1" l="1"/>
  <c r="M232" i="1"/>
  <c r="L218" i="1"/>
  <c r="L239" i="1" l="1"/>
  <c r="L219" i="1" l="1"/>
  <c r="L240" i="1"/>
  <c r="M237" i="1" s="1"/>
  <c r="M205" i="1" l="1"/>
  <c r="M238" i="1"/>
  <c r="L220" i="1"/>
  <c r="L246" i="1" l="1"/>
  <c r="L221" i="1" l="1"/>
  <c r="L247" i="1"/>
  <c r="M243" i="1" l="1"/>
  <c r="M245" i="1"/>
  <c r="M166" i="1" s="1"/>
  <c r="L187" i="1"/>
  <c r="L222" i="1"/>
  <c r="L147" i="1" l="1"/>
  <c r="L188" i="1"/>
  <c r="L126" i="1" s="1"/>
  <c r="M206" i="1"/>
  <c r="M207" i="1" s="1"/>
  <c r="M116" i="1" s="1"/>
  <c r="M118" i="1" s="1"/>
  <c r="M244" i="1"/>
  <c r="M212" i="1" s="1"/>
  <c r="M186" i="1" s="1"/>
  <c r="M119" i="1" l="1"/>
  <c r="M120" i="1"/>
  <c r="M161" i="1" s="1"/>
  <c r="M184" i="1"/>
  <c r="M210" i="1"/>
  <c r="L129" i="1"/>
  <c r="L138" i="1" s="1"/>
  <c r="L257" i="1"/>
  <c r="L258" i="1" s="1"/>
  <c r="L150" i="1"/>
  <c r="L154" i="1" s="1"/>
  <c r="L260" i="1" l="1"/>
  <c r="L261" i="1"/>
  <c r="L156" i="1"/>
  <c r="M152" i="1"/>
  <c r="M143" i="1"/>
  <c r="M168" i="1"/>
  <c r="M148" i="1" s="1"/>
  <c r="M174" i="1" l="1"/>
  <c r="M144" i="1"/>
  <c r="M176" i="1"/>
  <c r="M182" i="1" s="1"/>
  <c r="M211" i="1" l="1"/>
  <c r="M214" i="1" s="1"/>
  <c r="M185" i="1"/>
  <c r="M226" i="1" l="1"/>
  <c r="M227" i="1"/>
  <c r="M215" i="1" l="1"/>
  <c r="M228" i="1"/>
  <c r="N225" i="1" s="1"/>
  <c r="N203" i="1" s="1"/>
  <c r="M216" i="1" l="1"/>
  <c r="M233" i="1" l="1"/>
  <c r="M217" i="1" l="1"/>
  <c r="M234" i="1"/>
  <c r="N231" i="1" s="1"/>
  <c r="N204" i="1" l="1"/>
  <c r="N232" i="1"/>
  <c r="M218" i="1"/>
  <c r="M239" i="1" l="1"/>
  <c r="M219" i="1" l="1"/>
  <c r="M240" i="1"/>
  <c r="N237" i="1" s="1"/>
  <c r="N205" i="1" l="1"/>
  <c r="N238" i="1"/>
  <c r="M220" i="1"/>
  <c r="M246" i="1" l="1"/>
  <c r="M221" i="1" l="1"/>
  <c r="M247" i="1"/>
  <c r="N243" i="1" l="1"/>
  <c r="N245" i="1"/>
  <c r="N166" i="1" s="1"/>
  <c r="M187" i="1"/>
  <c r="M222" i="1"/>
  <c r="M147" i="1" l="1"/>
  <c r="M188" i="1"/>
  <c r="M126" i="1" s="1"/>
  <c r="N206" i="1"/>
  <c r="N207" i="1" s="1"/>
  <c r="N116" i="1" s="1"/>
  <c r="N118" i="1" s="1"/>
  <c r="N244" i="1"/>
  <c r="N212" i="1" s="1"/>
  <c r="N186" i="1" s="1"/>
  <c r="N119" i="1" l="1"/>
  <c r="N120" i="1" s="1"/>
  <c r="N161" i="1" s="1"/>
  <c r="N210" i="1"/>
  <c r="N184" i="1"/>
  <c r="M129" i="1"/>
  <c r="M138" i="1" s="1"/>
  <c r="M257" i="1"/>
  <c r="M258" i="1" s="1"/>
  <c r="M150" i="1"/>
  <c r="M154" i="1" s="1"/>
  <c r="M260" i="1" l="1"/>
  <c r="M261" i="1"/>
  <c r="M156" i="1"/>
  <c r="N152" i="1"/>
  <c r="N143" i="1"/>
  <c r="N168" i="1"/>
  <c r="N148" i="1" s="1"/>
  <c r="N174" i="1" l="1"/>
  <c r="N176" i="1" s="1"/>
  <c r="N182" i="1" s="1"/>
  <c r="N144" i="1"/>
  <c r="N211" i="1" l="1"/>
  <c r="N214" i="1" s="1"/>
  <c r="N185" i="1"/>
  <c r="N226" i="1" l="1"/>
  <c r="N227" i="1"/>
  <c r="N215" i="1" l="1"/>
  <c r="N228" i="1"/>
  <c r="O225" i="1" s="1"/>
  <c r="O203" i="1" s="1"/>
  <c r="N216" i="1" l="1"/>
  <c r="N233" i="1" l="1"/>
  <c r="N217" i="1" l="1"/>
  <c r="N234" i="1"/>
  <c r="O231" i="1" s="1"/>
  <c r="O204" i="1" l="1"/>
  <c r="O232" i="1"/>
  <c r="N218" i="1"/>
  <c r="N239" i="1" l="1"/>
  <c r="N219" i="1" l="1"/>
  <c r="N240" i="1"/>
  <c r="O237" i="1" s="1"/>
  <c r="O205" i="1" l="1"/>
  <c r="O238" i="1"/>
  <c r="N220" i="1"/>
  <c r="N246" i="1" l="1"/>
  <c r="N221" i="1" l="1"/>
  <c r="N247" i="1"/>
  <c r="O243" i="1" l="1"/>
  <c r="O245" i="1"/>
  <c r="O166" i="1" s="1"/>
  <c r="N187" i="1"/>
  <c r="N222" i="1"/>
  <c r="N147" i="1" l="1"/>
  <c r="N188" i="1"/>
  <c r="N126" i="1" s="1"/>
  <c r="O206" i="1"/>
  <c r="O207" i="1" s="1"/>
  <c r="O116" i="1" s="1"/>
  <c r="O118" i="1" s="1"/>
  <c r="O244" i="1"/>
  <c r="O212" i="1" s="1"/>
  <c r="O186" i="1" s="1"/>
  <c r="O119" i="1" l="1"/>
  <c r="O120" i="1"/>
  <c r="O161" i="1" s="1"/>
  <c r="O184" i="1"/>
  <c r="O210" i="1"/>
  <c r="N129" i="1"/>
  <c r="N138" i="1" s="1"/>
  <c r="N257" i="1"/>
  <c r="N258" i="1" s="1"/>
  <c r="N150" i="1"/>
  <c r="N154" i="1" s="1"/>
  <c r="N260" i="1" l="1"/>
  <c r="N261" i="1"/>
  <c r="N156" i="1"/>
  <c r="O152" i="1"/>
  <c r="O143" i="1"/>
  <c r="O168" i="1"/>
  <c r="O148" i="1" s="1"/>
  <c r="O174" i="1" l="1"/>
  <c r="O144" i="1"/>
  <c r="O176" i="1"/>
  <c r="O182" i="1" s="1"/>
  <c r="O211" i="1" l="1"/>
  <c r="O214" i="1" s="1"/>
  <c r="O185" i="1"/>
  <c r="O227" i="1" l="1"/>
  <c r="O226" i="1"/>
  <c r="O228" i="1" l="1"/>
  <c r="O215" i="1"/>
  <c r="O216" i="1" l="1"/>
  <c r="O233" i="1" l="1"/>
  <c r="O217" i="1" l="1"/>
  <c r="O234" i="1"/>
  <c r="O218" i="1" l="1"/>
  <c r="O239" i="1" l="1"/>
  <c r="O219" i="1" l="1"/>
  <c r="O240" i="1"/>
  <c r="O220" i="1" l="1"/>
  <c r="O246" i="1" l="1"/>
  <c r="O221" i="1" l="1"/>
  <c r="O247" i="1"/>
  <c r="O187" i="1" l="1"/>
  <c r="O222" i="1"/>
  <c r="O147" i="1" l="1"/>
  <c r="O188" i="1"/>
  <c r="O126" i="1" l="1"/>
  <c r="O129" i="1" s="1"/>
  <c r="O138" i="1" s="1"/>
  <c r="O150" i="1"/>
  <c r="O154" i="1" s="1"/>
  <c r="O156" i="1" l="1"/>
  <c r="O257" i="1"/>
  <c r="O258" i="1" s="1"/>
  <c r="O260" i="1" l="1"/>
  <c r="O261" i="1"/>
  <c r="D271" i="1" s="1"/>
  <c r="O263" i="1"/>
  <c r="J265" i="1" l="1"/>
  <c r="J266" i="1"/>
  <c r="D283" i="1" s="1"/>
</calcChain>
</file>

<file path=xl/sharedStrings.xml><?xml version="1.0" encoding="utf-8"?>
<sst xmlns="http://schemas.openxmlformats.org/spreadsheetml/2006/main" count="350" uniqueCount="204">
  <si>
    <t>Company Name:</t>
  </si>
  <si>
    <t>Historical</t>
  </si>
  <si>
    <t>Projected</t>
  </si>
  <si>
    <t>Total Sales:</t>
  </si>
  <si>
    <t>Gross Profit:</t>
  </si>
  <si>
    <t>Debt Schedule:</t>
  </si>
  <si>
    <t>Numerical Year:</t>
  </si>
  <si>
    <t>(-) Net Debt:</t>
  </si>
  <si>
    <t>Total Sources:</t>
  </si>
  <si>
    <t>Total Uses:</t>
  </si>
  <si>
    <t>PIK</t>
  </si>
  <si>
    <t>N/A</t>
  </si>
  <si>
    <t>Debt Tranche Name:</t>
  </si>
  <si>
    <t>Revolver:</t>
  </si>
  <si>
    <t>Rate:</t>
  </si>
  <si>
    <t>LIBOR</t>
  </si>
  <si>
    <t>Spread:</t>
  </si>
  <si>
    <t>Margin:</t>
  </si>
  <si>
    <t>Annual</t>
  </si>
  <si>
    <t>Transaction Fees:</t>
  </si>
  <si>
    <t>x EBITDA</t>
  </si>
  <si>
    <t>Purchase Enterprise Value:</t>
  </si>
  <si>
    <t>Debt Assumptions:</t>
  </si>
  <si>
    <t>LTM EBITDA:</t>
  </si>
  <si>
    <t>Purchase EV / EBITDA Multiple:</t>
  </si>
  <si>
    <t>EBITDA:</t>
  </si>
  <si>
    <t>Uses of Funds:</t>
  </si>
  <si>
    <t>EBIT:</t>
  </si>
  <si>
    <t>Net Income:</t>
  </si>
  <si>
    <t>% Sources</t>
  </si>
  <si>
    <t>Sources of Funds:</t>
  </si>
  <si>
    <t>(-) Capital Expenditures:</t>
  </si>
  <si>
    <t>Cash Flow Projections:</t>
  </si>
  <si>
    <t>Cash - Beginning of Period:</t>
  </si>
  <si>
    <t>Cash - End of Period:</t>
  </si>
  <si>
    <t>%</t>
  </si>
  <si>
    <t>Units:</t>
  </si>
  <si>
    <t>Floor:</t>
  </si>
  <si>
    <t>Fixed</t>
  </si>
  <si>
    <t>LIBOR:</t>
  </si>
  <si>
    <t>(+) PIK Interest:</t>
  </si>
  <si>
    <t>Tax Rate:</t>
  </si>
  <si>
    <t>(+) Free Cash Flow:</t>
  </si>
  <si>
    <t>(-) Minimum Cash:</t>
  </si>
  <si>
    <t>(x) Exit Multiple:</t>
  </si>
  <si>
    <t>Exit Equity Value:</t>
  </si>
  <si>
    <t>Exit Enterprise Value:</t>
  </si>
  <si>
    <t>(-) Taxes:</t>
  </si>
  <si>
    <t>IRR:</t>
  </si>
  <si>
    <t>Multiple:</t>
  </si>
  <si>
    <t>#</t>
  </si>
  <si>
    <t>x</t>
  </si>
  <si>
    <t>Subordinated Notes:</t>
  </si>
  <si>
    <t>Growth Rate:</t>
  </si>
  <si>
    <t>Income Statement:</t>
  </si>
  <si>
    <t>Total Operating Expenses:</t>
  </si>
  <si>
    <t>(-) Interest Expense on Debt:</t>
  </si>
  <si>
    <t>Pre-Tax Income:</t>
  </si>
  <si>
    <t>Balance Sheet:</t>
  </si>
  <si>
    <t>Cash &amp; Cash-Equivalents:</t>
  </si>
  <si>
    <t>Accounts Receivable:</t>
  </si>
  <si>
    <t>Total Current Assets:</t>
  </si>
  <si>
    <t>Inventory:</t>
  </si>
  <si>
    <t>Net PP&amp;E:</t>
  </si>
  <si>
    <t>Goodwill:</t>
  </si>
  <si>
    <t>Other Intangible Assets:</t>
  </si>
  <si>
    <t>Other Long-Term Assets:</t>
  </si>
  <si>
    <t>Total Long-Term Assets:</t>
  </si>
  <si>
    <t>TOTAL ASSETS:</t>
  </si>
  <si>
    <t>ASSETS:</t>
  </si>
  <si>
    <t>Accounts Payable:</t>
  </si>
  <si>
    <t>Income Taxes Payable:</t>
  </si>
  <si>
    <t>Total Current Liabilities:</t>
  </si>
  <si>
    <t>LIABILITIES &amp; EQUITY:</t>
  </si>
  <si>
    <t>Other Long-Term Liabilities:</t>
  </si>
  <si>
    <t>Deferred Tax Liabilities:</t>
  </si>
  <si>
    <t>Total Long-Term Liabilities:</t>
  </si>
  <si>
    <t>TOTAL LIABILITIES &amp; EQUITY:</t>
  </si>
  <si>
    <t>Balance Check:</t>
  </si>
  <si>
    <t>Current Assets:</t>
  </si>
  <si>
    <t>Long-Term Assets:</t>
  </si>
  <si>
    <t>Current Liabilities:</t>
  </si>
  <si>
    <t>Long-Term Liabilities:</t>
  </si>
  <si>
    <t>(+) Depreciation:</t>
  </si>
  <si>
    <t>(+) Impairment of Goodwill:</t>
  </si>
  <si>
    <t>(+) Amortization of Other Intangibles:</t>
  </si>
  <si>
    <t>(+/-) Deferred Taxes:</t>
  </si>
  <si>
    <t>Changes in Operating Assets and Liabilities:</t>
  </si>
  <si>
    <t>Net Cash Provided by Operating Activities:</t>
  </si>
  <si>
    <t>CASH FLOWS FROM INVESTING ACTIVITIES:</t>
  </si>
  <si>
    <t>CASH FLOWS FROM OPERATING ACTIVITIES:</t>
  </si>
  <si>
    <t/>
  </si>
  <si>
    <t>Net Cash Used in Investing Activities:</t>
  </si>
  <si>
    <t>Days Sales Outstanding:</t>
  </si>
  <si>
    <t>Days Sales of Inventory:</t>
  </si>
  <si>
    <t>Days Payable Outstanding:</t>
  </si>
  <si>
    <t>Other Long-Term Assets % Revenue:</t>
  </si>
  <si>
    <t>Other Long-Term Liabilities % OpEx:</t>
  </si>
  <si>
    <t>Income Taxes Payable % Income Taxes:</t>
  </si>
  <si>
    <t>Goodwill Impairment:</t>
  </si>
  <si>
    <t>Deferred Taxes % Income Taxes:</t>
  </si>
  <si>
    <t>(-) Depreciation:</t>
  </si>
  <si>
    <t>(-) Impairment of Goodwill:</t>
  </si>
  <si>
    <t>(-) Amortization of Other Intangibles:</t>
  </si>
  <si>
    <t>Purchase Equity Value:</t>
  </si>
  <si>
    <t>Sweep %:</t>
  </si>
  <si>
    <t>Transaction Adjustments:</t>
  </si>
  <si>
    <t>Debit</t>
  </si>
  <si>
    <t>Credit</t>
  </si>
  <si>
    <t>(+) Cash:</t>
  </si>
  <si>
    <t>(-) Debt:</t>
  </si>
  <si>
    <t>Goodwill Creation &amp; Purchase Price Allocation:</t>
  </si>
  <si>
    <t>Goodwill Calculation:</t>
  </si>
  <si>
    <t>Fixed Asset Write-Up:</t>
  </si>
  <si>
    <t>%:</t>
  </si>
  <si>
    <t>Equity Purchase Price:</t>
  </si>
  <si>
    <t>PP&amp;E Write-Up:</t>
  </si>
  <si>
    <t>Depreciation Period (Years):</t>
  </si>
  <si>
    <t>Yearly Depreciation Expense:</t>
  </si>
  <si>
    <t>Total Allocable Purchase Premium:</t>
  </si>
  <si>
    <t>Intangible Asset Write-Up:</t>
  </si>
  <si>
    <t>Excess Purchase Price to Allocate:</t>
  </si>
  <si>
    <t>Total Goodwill Created:</t>
  </si>
  <si>
    <t>Amortization Period (Years):</t>
  </si>
  <si>
    <t>Yearly Amortization Expense:</t>
  </si>
  <si>
    <t>New Deferred Tax Liability:</t>
  </si>
  <si>
    <t>(-) Seller's Common Book Value:</t>
  </si>
  <si>
    <t>(+) Write-Off of Existing Goodwill:</t>
  </si>
  <si>
    <t>(-) Write-Up of PP&amp;E:</t>
  </si>
  <si>
    <t>(-) Write-Up of Intangibles:</t>
  </si>
  <si>
    <t>(-) Write-Down of Existing DTL:</t>
  </si>
  <si>
    <t>(+) New Deferred Tax Liability:</t>
  </si>
  <si>
    <t>Returns Calculations:</t>
  </si>
  <si>
    <t>(+) Revolver Draw:</t>
  </si>
  <si>
    <t>Free Cash Flow:</t>
  </si>
  <si>
    <t>(-) Mandatory Repayments:</t>
  </si>
  <si>
    <t>Cash Flow</t>
  </si>
  <si>
    <t>(-) Optional Repayments:</t>
  </si>
  <si>
    <t>(-) Mandatory Debt Repayments:</t>
  </si>
  <si>
    <t>Cash Flow Available for Debt Repayment:</t>
  </si>
  <si>
    <t>(-) Optional Debt Repayments:</t>
  </si>
  <si>
    <t>Cash Flow Available for Subordinated Notes:</t>
  </si>
  <si>
    <t>Interest Rates on Debt:</t>
  </si>
  <si>
    <t>Interest Paid on Debt:</t>
  </si>
  <si>
    <t>(-) Revolver Repayment:</t>
  </si>
  <si>
    <t>Minimum Cash Balance:</t>
  </si>
  <si>
    <t>Total Interest Paid (Cash + PIK):</t>
  </si>
  <si>
    <t>(-) Depreciation of PP&amp;E Write-Up:</t>
  </si>
  <si>
    <t>(+) Depreciation of PP&amp;E Write-Up:</t>
  </si>
  <si>
    <t>Exit Year:</t>
  </si>
  <si>
    <t>Sensitivity Tables - Sponsor Returns:</t>
  </si>
  <si>
    <t>Conversion Units:</t>
  </si>
  <si>
    <t>$ M</t>
  </si>
  <si>
    <t>CapEx % Revenue:</t>
  </si>
  <si>
    <t>Depreciation:</t>
  </si>
  <si>
    <t>Depreciation % Revenue:</t>
  </si>
  <si>
    <t>(+) Revolver Draw / (-) Repayment:</t>
  </si>
  <si>
    <t>(-) Optional Repayments of Subordinated Notes:</t>
  </si>
  <si>
    <t>Capital Expenditures (CapEx):</t>
  </si>
  <si>
    <t># Days</t>
  </si>
  <si>
    <t>Cash Generated ABOVE Minimum Cash Balance:</t>
  </si>
  <si>
    <t>(-) Cost of Goods Sold (COGS):</t>
  </si>
  <si>
    <t>Last Historical Year &amp; Transaction Close Date:</t>
  </si>
  <si>
    <t>(+/-) Change in DTL from New D&amp;A:</t>
  </si>
  <si>
    <t>Initial Exit EV / EBITDA Multiple in Year 1 (Decreases by 0.5x per Year Until Exit):</t>
  </si>
  <si>
    <t>Year 1 Exit Multiple:</t>
  </si>
  <si>
    <t>Transaction Assumptions:</t>
  </si>
  <si>
    <t>Cash-Free, Debt-Free Deal?</t>
  </si>
  <si>
    <t>(Declines by 0.5x per year)</t>
  </si>
  <si>
    <t>Sources &amp; Uses Schedule (Cash-Free, Debt-Free Treatment):</t>
  </si>
  <si>
    <t>Amort.:</t>
  </si>
  <si>
    <t>(Amounts in USD Millions Unless Otherwise Stated)</t>
  </si>
  <si>
    <t>Common Shareholders' Equity:</t>
  </si>
  <si>
    <t>Term Loans:</t>
  </si>
  <si>
    <t>Investor Equity:</t>
  </si>
  <si>
    <t>Cost of Goods Sold (COGS):</t>
  </si>
  <si>
    <t>Net Sales:</t>
  </si>
  <si>
    <t>% Net Sales:</t>
  </si>
  <si>
    <t>Operating Expenses (OpEx):</t>
  </si>
  <si>
    <t>Financial Statement Drivers:</t>
  </si>
  <si>
    <t>Cash Flow Statement:</t>
  </si>
  <si>
    <t>Sources &amp; Uses Schedule (NON-Cash-Free, Debt-Free Treatment):</t>
  </si>
  <si>
    <t>Refinance Debt:</t>
  </si>
  <si>
    <t>Excess Cash on Balance Sheet:</t>
  </si>
  <si>
    <t>Assume Existing Debt?</t>
  </si>
  <si>
    <t>Assume Debt:</t>
  </si>
  <si>
    <t>Total Debt:</t>
  </si>
  <si>
    <t>Existing Debt:</t>
  </si>
  <si>
    <t>Beginning Term Loans:</t>
  </si>
  <si>
    <t>Ending Term Loans:</t>
  </si>
  <si>
    <t>Beginning Subordinated Notes:</t>
  </si>
  <si>
    <t>Ending Subordinated Notes:</t>
  </si>
  <si>
    <t>Beginning Revolver:</t>
  </si>
  <si>
    <t>Ending Revolver:</t>
  </si>
  <si>
    <t>Beginning Existing Debt:</t>
  </si>
  <si>
    <t>Ending Existing Debt:</t>
  </si>
  <si>
    <t>Cash Flow Available for Existing Debt:</t>
  </si>
  <si>
    <t>(-) Optional Repayments of Existing Debt:</t>
  </si>
  <si>
    <t>Cash Flow Available for Term Loans:</t>
  </si>
  <si>
    <t>(-) Optional Repayments of Term Loans:</t>
  </si>
  <si>
    <r>
      <t xml:space="preserve">(Only valid in a </t>
    </r>
    <r>
      <rPr>
        <b/>
        <sz val="12"/>
        <color theme="1"/>
        <rFont val="Calibri"/>
        <family val="2"/>
        <scheme val="minor"/>
      </rPr>
      <t>non</t>
    </r>
    <r>
      <rPr>
        <sz val="12"/>
        <color theme="1"/>
        <rFont val="Calibri"/>
        <family val="2"/>
        <scheme val="minor"/>
      </rPr>
      <t>-Cash-Free-Debt-Free deal.)</t>
    </r>
  </si>
  <si>
    <t>Cash Flows to Sponsor:</t>
  </si>
  <si>
    <t>Random App Co.</t>
  </si>
  <si>
    <t>Minimum Cash Right After Close: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</si>
</sst>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yyyy\-mm\-dd"/>
    <numFmt numFmtId="165" formatCode="_(* #,##0.0_);_(* \(#,##0.0\);_(* &quot;-&quot;?_);_(@_)"/>
    <numFmt numFmtId="166" formatCode="_([$€-2]\ * #,##0.0_);_([$€-2]\ * \(#,##0.0\);_([$€-2]\ * &quot;-&quot;?_);_(@_)"/>
    <numFmt numFmtId="167" formatCode="* _(##,##0.0_);[Red]* \(##,##0.0\);* _(&quot;-&quot;?_);_(@_)"/>
    <numFmt numFmtId="168" formatCode="&quot;FY&quot;yy"/>
    <numFmt numFmtId="169" formatCode="0.0\ \x"/>
    <numFmt numFmtId="170" formatCode="0.0%;\(0.0%\)"/>
    <numFmt numFmtId="171" formatCode="_(&quot;$&quot;* #,##0.0_);_(&quot;$&quot;* \(#,##0.0\);_(&quot;$&quot;* &quot;-&quot;?_);_(@_)"/>
    <numFmt numFmtId="172" formatCode="#,##0.0_);\(#,##0.0\)"/>
    <numFmt numFmtId="173" formatCode="&quot;$&quot;#,##0.000\);\(&quot;$&quot;#,##0.000\);&quot;OK!&quot;;&quot;ERROR&quot;"/>
    <numFmt numFmtId="174" formatCode="0.0_);\(0.0\)"/>
    <numFmt numFmtId="175" formatCode="0.00%;\(0.00%\)"/>
    <numFmt numFmtId="176" formatCode="&quot;Yes&quot;;&quot;Yes&quot;;&quot;No&quot;;&quot;No&quot;"/>
    <numFmt numFmtId="177" formatCode="0.0\ \x;\(0.0\ \x\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rgb="FFFFFFFF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auto="1"/>
      </top>
      <bottom style="thin">
        <color rgb="FFB2B2B2"/>
      </bottom>
      <diagonal/>
    </border>
  </borders>
  <cellStyleXfs count="3">
    <xf numFmtId="0" fontId="0" fillId="0" borderId="0"/>
    <xf numFmtId="0" fontId="5" fillId="2" borderId="1" applyNumberFormat="0" applyFont="0" applyAlignment="0" applyProtection="0"/>
    <xf numFmtId="0" fontId="17" fillId="0" borderId="0"/>
  </cellStyleXfs>
  <cellXfs count="340">
    <xf numFmtId="0" fontId="0" fillId="0" borderId="0" xfId="0"/>
    <xf numFmtId="168" fontId="6" fillId="6" borderId="2" xfId="0" applyNumberFormat="1" applyFont="1" applyFill="1" applyBorder="1" applyAlignment="1">
      <alignment horizontal="center"/>
    </xf>
    <xf numFmtId="168" fontId="6" fillId="6" borderId="5" xfId="0" applyNumberFormat="1" applyFont="1" applyFill="1" applyBorder="1" applyAlignment="1">
      <alignment horizontal="center"/>
    </xf>
    <xf numFmtId="0" fontId="7" fillId="0" borderId="0" xfId="0" applyFont="1"/>
    <xf numFmtId="0" fontId="8" fillId="3" borderId="2" xfId="0" applyFont="1" applyFill="1" applyBorder="1"/>
    <xf numFmtId="0" fontId="9" fillId="3" borderId="2" xfId="0" applyFont="1" applyFill="1" applyBorder="1"/>
    <xf numFmtId="0" fontId="10" fillId="3" borderId="2" xfId="0" applyFont="1" applyFill="1" applyBorder="1"/>
    <xf numFmtId="0" fontId="9" fillId="3" borderId="2" xfId="0" applyFont="1" applyFill="1" applyBorder="1" applyAlignment="1"/>
    <xf numFmtId="164" fontId="11" fillId="5" borderId="1" xfId="1" applyNumberFormat="1" applyFont="1" applyFill="1" applyAlignment="1">
      <alignment horizontal="center"/>
    </xf>
    <xf numFmtId="0" fontId="7" fillId="4" borderId="2" xfId="0" applyFont="1" applyFill="1" applyBorder="1"/>
    <xf numFmtId="0" fontId="11" fillId="0" borderId="0" xfId="0" applyFont="1" applyAlignment="1">
      <alignment horizontal="center"/>
    </xf>
    <xf numFmtId="0" fontId="7" fillId="4" borderId="0" xfId="0" applyFont="1" applyFill="1" applyBorder="1"/>
    <xf numFmtId="0" fontId="8" fillId="6" borderId="0" xfId="0" applyFont="1" applyFill="1" applyBorder="1"/>
    <xf numFmtId="0" fontId="9" fillId="6" borderId="0" xfId="0" applyFont="1" applyFill="1" applyBorder="1"/>
    <xf numFmtId="0" fontId="10" fillId="6" borderId="0" xfId="0" applyFont="1" applyFill="1" applyBorder="1"/>
    <xf numFmtId="0" fontId="8" fillId="6" borderId="3" xfId="0" applyFont="1" applyFill="1" applyBorder="1" applyAlignment="1">
      <alignment horizontal="centerContinuous"/>
    </xf>
    <xf numFmtId="0" fontId="9" fillId="6" borderId="3" xfId="0" applyFont="1" applyFill="1" applyBorder="1" applyAlignment="1">
      <alignment horizontal="centerContinuous"/>
    </xf>
    <xf numFmtId="0" fontId="8" fillId="6" borderId="6" xfId="0" applyFont="1" applyFill="1" applyBorder="1" applyAlignment="1">
      <alignment horizontal="centerContinuous"/>
    </xf>
    <xf numFmtId="0" fontId="10" fillId="6" borderId="3" xfId="0" applyFont="1" applyFill="1" applyBorder="1" applyAlignment="1">
      <alignment horizontal="centerContinuous"/>
    </xf>
    <xf numFmtId="0" fontId="9" fillId="6" borderId="2" xfId="0" applyFont="1" applyFill="1" applyBorder="1"/>
    <xf numFmtId="0" fontId="13" fillId="0" borderId="0" xfId="0" applyFont="1" applyAlignment="1">
      <alignment horizontal="left" indent="1"/>
    </xf>
    <xf numFmtId="165" fontId="11" fillId="0" borderId="0" xfId="0" applyNumberFormat="1" applyFont="1"/>
    <xf numFmtId="165" fontId="11" fillId="0" borderId="0" xfId="0" applyNumberFormat="1" applyFont="1" applyBorder="1"/>
    <xf numFmtId="0" fontId="7" fillId="0" borderId="0" xfId="0" applyFont="1" applyFill="1" applyBorder="1"/>
    <xf numFmtId="166" fontId="7" fillId="0" borderId="0" xfId="0" applyNumberFormat="1" applyFont="1"/>
    <xf numFmtId="166" fontId="7" fillId="0" borderId="0" xfId="0" applyNumberFormat="1" applyFont="1" applyBorder="1"/>
    <xf numFmtId="0" fontId="8" fillId="3" borderId="0" xfId="0" applyFont="1" applyFill="1" applyBorder="1"/>
    <xf numFmtId="0" fontId="9" fillId="3" borderId="0" xfId="0" applyFont="1" applyFill="1" applyBorder="1"/>
    <xf numFmtId="167" fontId="11" fillId="0" borderId="0" xfId="0" applyNumberFormat="1" applyFont="1"/>
    <xf numFmtId="0" fontId="7" fillId="0" borderId="0" xfId="0" applyFont="1" applyAlignment="1">
      <alignment horizontal="left" indent="1"/>
    </xf>
    <xf numFmtId="0" fontId="7" fillId="4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8" fillId="6" borderId="2" xfId="0" applyFont="1" applyFill="1" applyBorder="1"/>
    <xf numFmtId="0" fontId="7" fillId="0" borderId="7" xfId="0" applyFont="1" applyBorder="1"/>
    <xf numFmtId="165" fontId="7" fillId="0" borderId="7" xfId="0" applyNumberFormat="1" applyFont="1" applyBorder="1"/>
    <xf numFmtId="165" fontId="14" fillId="0" borderId="0" xfId="0" applyNumberFormat="1" applyFont="1" applyBorder="1"/>
    <xf numFmtId="0" fontId="11" fillId="5" borderId="1" xfId="1" applyFont="1" applyFill="1" applyAlignment="1">
      <alignment horizontal="centerContinuous"/>
    </xf>
    <xf numFmtId="0" fontId="16" fillId="6" borderId="2" xfId="0" applyFont="1" applyFill="1" applyBorder="1" applyAlignment="1">
      <alignment horizontal="center"/>
    </xf>
    <xf numFmtId="165" fontId="7" fillId="0" borderId="0" xfId="0" applyNumberFormat="1" applyFont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168" fontId="6" fillId="0" borderId="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 indent="1"/>
    </xf>
    <xf numFmtId="0" fontId="14" fillId="0" borderId="0" xfId="0" applyFont="1" applyFill="1" applyBorder="1"/>
    <xf numFmtId="10" fontId="11" fillId="0" borderId="0" xfId="1" applyNumberFormat="1" applyFont="1" applyFill="1" applyBorder="1"/>
    <xf numFmtId="10" fontId="14" fillId="0" borderId="0" xfId="1" applyNumberFormat="1" applyFont="1" applyFill="1" applyBorder="1"/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0" xfId="2" applyFont="1" applyAlignment="1">
      <alignment horizontal="center"/>
    </xf>
    <xf numFmtId="165" fontId="14" fillId="0" borderId="0" xfId="0" applyNumberFormat="1" applyFont="1"/>
    <xf numFmtId="0" fontId="13" fillId="0" borderId="0" xfId="0" applyFont="1" applyAlignment="1">
      <alignment horizontal="center"/>
    </xf>
    <xf numFmtId="0" fontId="14" fillId="6" borderId="9" xfId="2" applyFont="1" applyFill="1" applyBorder="1"/>
    <xf numFmtId="0" fontId="14" fillId="6" borderId="10" xfId="2" applyFont="1" applyFill="1" applyBorder="1"/>
    <xf numFmtId="0" fontId="6" fillId="6" borderId="10" xfId="2" applyFont="1" applyFill="1" applyBorder="1" applyAlignment="1">
      <alignment horizontal="centerContinuous"/>
    </xf>
    <xf numFmtId="0" fontId="15" fillId="6" borderId="10" xfId="2" applyFont="1" applyFill="1" applyBorder="1" applyAlignment="1">
      <alignment horizontal="centerContinuous"/>
    </xf>
    <xf numFmtId="0" fontId="15" fillId="6" borderId="11" xfId="2" applyFont="1" applyFill="1" applyBorder="1" applyAlignment="1">
      <alignment horizontal="centerContinuous"/>
    </xf>
    <xf numFmtId="0" fontId="14" fillId="6" borderId="12" xfId="2" applyFont="1" applyFill="1" applyBorder="1"/>
    <xf numFmtId="170" fontId="19" fillId="4" borderId="0" xfId="2" applyNumberFormat="1" applyFont="1" applyFill="1" applyBorder="1"/>
    <xf numFmtId="43" fontId="14" fillId="0" borderId="0" xfId="0" applyNumberFormat="1" applyFont="1" applyFill="1" applyBorder="1" applyAlignment="1"/>
    <xf numFmtId="43" fontId="15" fillId="0" borderId="0" xfId="0" applyNumberFormat="1" applyFont="1" applyFill="1" applyBorder="1" applyAlignment="1"/>
    <xf numFmtId="0" fontId="7" fillId="0" borderId="0" xfId="0" applyFont="1" applyBorder="1"/>
    <xf numFmtId="170" fontId="12" fillId="0" borderId="0" xfId="1" applyNumberFormat="1" applyFont="1" applyFill="1" applyBorder="1"/>
    <xf numFmtId="168" fontId="6" fillId="6" borderId="16" xfId="0" applyNumberFormat="1" applyFont="1" applyFill="1" applyBorder="1" applyAlignment="1">
      <alignment horizontal="center"/>
    </xf>
    <xf numFmtId="171" fontId="7" fillId="0" borderId="0" xfId="0" applyNumberFormat="1" applyFont="1"/>
    <xf numFmtId="171" fontId="7" fillId="0" borderId="7" xfId="0" applyNumberFormat="1" applyFont="1" applyBorder="1"/>
    <xf numFmtId="171" fontId="11" fillId="0" borderId="0" xfId="0" applyNumberFormat="1" applyFont="1"/>
    <xf numFmtId="170" fontId="13" fillId="0" borderId="0" xfId="0" applyNumberFormat="1" applyFont="1"/>
    <xf numFmtId="0" fontId="7" fillId="4" borderId="10" xfId="0" applyFont="1" applyFill="1" applyBorder="1"/>
    <xf numFmtId="171" fontId="11" fillId="5" borderId="1" xfId="0" applyNumberFormat="1" applyFont="1" applyFill="1" applyBorder="1"/>
    <xf numFmtId="165" fontId="7" fillId="0" borderId="0" xfId="0" applyNumberFormat="1" applyFont="1" applyBorder="1"/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4" borderId="1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65" fontId="11" fillId="0" borderId="2" xfId="0" applyNumberFormat="1" applyFont="1" applyBorder="1"/>
    <xf numFmtId="165" fontId="15" fillId="0" borderId="7" xfId="0" applyNumberFormat="1" applyFont="1" applyBorder="1"/>
    <xf numFmtId="173" fontId="13" fillId="0" borderId="0" xfId="0" applyNumberFormat="1" applyFont="1"/>
    <xf numFmtId="165" fontId="7" fillId="0" borderId="2" xfId="0" applyNumberFormat="1" applyFont="1" applyBorder="1"/>
    <xf numFmtId="171" fontId="14" fillId="0" borderId="0" xfId="0" applyNumberFormat="1" applyFont="1"/>
    <xf numFmtId="169" fontId="14" fillId="0" borderId="0" xfId="0" applyNumberFormat="1" applyFont="1" applyFill="1" applyBorder="1"/>
    <xf numFmtId="165" fontId="7" fillId="0" borderId="9" xfId="0" applyNumberFormat="1" applyFont="1" applyBorder="1"/>
    <xf numFmtId="165" fontId="7" fillId="0" borderId="22" xfId="0" applyNumberFormat="1" applyFont="1" applyBorder="1"/>
    <xf numFmtId="165" fontId="7" fillId="0" borderId="21" xfId="0" applyNumberFormat="1" applyFont="1" applyBorder="1"/>
    <xf numFmtId="165" fontId="7" fillId="0" borderId="13" xfId="0" applyNumberFormat="1" applyFont="1" applyBorder="1"/>
    <xf numFmtId="171" fontId="7" fillId="0" borderId="21" xfId="0" applyNumberFormat="1" applyFont="1" applyBorder="1"/>
    <xf numFmtId="171" fontId="7" fillId="0" borderId="0" xfId="0" applyNumberFormat="1" applyFont="1" applyBorder="1"/>
    <xf numFmtId="171" fontId="7" fillId="0" borderId="13" xfId="0" applyNumberFormat="1" applyFont="1" applyBorder="1"/>
    <xf numFmtId="165" fontId="15" fillId="0" borderId="9" xfId="0" applyNumberFormat="1" applyFont="1" applyBorder="1"/>
    <xf numFmtId="165" fontId="15" fillId="0" borderId="22" xfId="0" applyNumberFormat="1" applyFont="1" applyBorder="1"/>
    <xf numFmtId="165" fontId="11" fillId="0" borderId="0" xfId="0" applyNumberFormat="1" applyFont="1" applyFill="1" applyBorder="1"/>
    <xf numFmtId="172" fontId="11" fillId="0" borderId="7" xfId="1" applyNumberFormat="1" applyFont="1" applyFill="1" applyBorder="1"/>
    <xf numFmtId="172" fontId="11" fillId="0" borderId="0" xfId="1" applyNumberFormat="1" applyFont="1" applyFill="1" applyBorder="1"/>
    <xf numFmtId="170" fontId="11" fillId="0" borderId="0" xfId="0" applyNumberFormat="1" applyFont="1" applyFill="1" applyBorder="1"/>
    <xf numFmtId="171" fontId="7" fillId="4" borderId="2" xfId="0" applyNumberFormat="1" applyFont="1" applyFill="1" applyBorder="1"/>
    <xf numFmtId="0" fontId="7" fillId="4" borderId="7" xfId="0" applyFont="1" applyFill="1" applyBorder="1"/>
    <xf numFmtId="171" fontId="7" fillId="4" borderId="7" xfId="0" applyNumberFormat="1" applyFont="1" applyFill="1" applyBorder="1"/>
    <xf numFmtId="0" fontId="7" fillId="4" borderId="20" xfId="0" applyFont="1" applyFill="1" applyBorder="1"/>
    <xf numFmtId="0" fontId="7" fillId="4" borderId="11" xfId="0" applyFont="1" applyFill="1" applyBorder="1"/>
    <xf numFmtId="165" fontId="14" fillId="0" borderId="21" xfId="0" applyNumberFormat="1" applyFont="1" applyBorder="1"/>
    <xf numFmtId="165" fontId="14" fillId="0" borderId="13" xfId="0" applyNumberFormat="1" applyFont="1" applyBorder="1"/>
    <xf numFmtId="166" fontId="7" fillId="0" borderId="21" xfId="0" applyNumberFormat="1" applyFont="1" applyBorder="1"/>
    <xf numFmtId="166" fontId="7" fillId="0" borderId="13" xfId="0" applyNumberFormat="1" applyFont="1" applyBorder="1"/>
    <xf numFmtId="0" fontId="7" fillId="4" borderId="23" xfId="0" applyFont="1" applyFill="1" applyBorder="1"/>
    <xf numFmtId="0" fontId="7" fillId="4" borderId="15" xfId="0" applyFont="1" applyFill="1" applyBorder="1"/>
    <xf numFmtId="165" fontId="11" fillId="0" borderId="13" xfId="0" applyNumberFormat="1" applyFont="1" applyFill="1" applyBorder="1"/>
    <xf numFmtId="171" fontId="7" fillId="0" borderId="9" xfId="0" applyNumberFormat="1" applyFont="1" applyBorder="1"/>
    <xf numFmtId="171" fontId="7" fillId="0" borderId="22" xfId="0" applyNumberFormat="1" applyFont="1" applyBorder="1"/>
    <xf numFmtId="171" fontId="11" fillId="0" borderId="21" xfId="0" applyNumberFormat="1" applyFont="1" applyBorder="1"/>
    <xf numFmtId="165" fontId="11" fillId="0" borderId="21" xfId="0" applyNumberFormat="1" applyFont="1" applyBorder="1"/>
    <xf numFmtId="172" fontId="11" fillId="0" borderId="22" xfId="1" applyNumberFormat="1" applyFont="1" applyFill="1" applyBorder="1"/>
    <xf numFmtId="172" fontId="11" fillId="0" borderId="21" xfId="1" applyNumberFormat="1" applyFont="1" applyFill="1" applyBorder="1"/>
    <xf numFmtId="172" fontId="11" fillId="0" borderId="13" xfId="1" applyNumberFormat="1" applyFont="1" applyFill="1" applyBorder="1"/>
    <xf numFmtId="170" fontId="11" fillId="0" borderId="21" xfId="0" applyNumberFormat="1" applyFont="1" applyFill="1" applyBorder="1"/>
    <xf numFmtId="170" fontId="11" fillId="0" borderId="13" xfId="0" applyNumberFormat="1" applyFont="1" applyFill="1" applyBorder="1"/>
    <xf numFmtId="170" fontId="13" fillId="0" borderId="21" xfId="0" applyNumberFormat="1" applyFont="1" applyBorder="1"/>
    <xf numFmtId="170" fontId="13" fillId="0" borderId="0" xfId="0" applyNumberFormat="1" applyFont="1" applyBorder="1"/>
    <xf numFmtId="170" fontId="13" fillId="0" borderId="13" xfId="0" applyNumberFormat="1" applyFont="1" applyBorder="1"/>
    <xf numFmtId="165" fontId="11" fillId="7" borderId="7" xfId="0" applyNumberFormat="1" applyFont="1" applyFill="1" applyBorder="1"/>
    <xf numFmtId="165" fontId="11" fillId="7" borderId="0" xfId="0" applyNumberFormat="1" applyFont="1" applyFill="1" applyBorder="1"/>
    <xf numFmtId="165" fontId="11" fillId="7" borderId="2" xfId="0" applyNumberFormat="1" applyFont="1" applyFill="1" applyBorder="1"/>
    <xf numFmtId="0" fontId="7" fillId="7" borderId="10" xfId="0" applyFont="1" applyFill="1" applyBorder="1" applyAlignment="1">
      <alignment horizontal="left"/>
    </xf>
    <xf numFmtId="165" fontId="11" fillId="7" borderId="10" xfId="0" applyNumberFormat="1" applyFont="1" applyFill="1" applyBorder="1"/>
    <xf numFmtId="165" fontId="7" fillId="7" borderId="10" xfId="0" applyNumberFormat="1" applyFont="1" applyFill="1" applyBorder="1"/>
    <xf numFmtId="165" fontId="7" fillId="7" borderId="20" xfId="0" applyNumberFormat="1" applyFont="1" applyFill="1" applyBorder="1"/>
    <xf numFmtId="165" fontId="7" fillId="7" borderId="11" xfId="0" applyNumberFormat="1" applyFont="1" applyFill="1" applyBorder="1"/>
    <xf numFmtId="171" fontId="11" fillId="7" borderId="10" xfId="0" applyNumberFormat="1" applyFont="1" applyFill="1" applyBorder="1"/>
    <xf numFmtId="171" fontId="14" fillId="7" borderId="10" xfId="0" applyNumberFormat="1" applyFont="1" applyFill="1" applyBorder="1"/>
    <xf numFmtId="171" fontId="14" fillId="7" borderId="11" xfId="0" applyNumberFormat="1" applyFont="1" applyFill="1" applyBorder="1"/>
    <xf numFmtId="165" fontId="11" fillId="0" borderId="23" xfId="0" applyNumberFormat="1" applyFont="1" applyBorder="1"/>
    <xf numFmtId="171" fontId="11" fillId="0" borderId="0" xfId="0" applyNumberFormat="1" applyFont="1" applyBorder="1"/>
    <xf numFmtId="167" fontId="11" fillId="0" borderId="0" xfId="1" applyNumberFormat="1" applyFont="1" applyFill="1" applyBorder="1"/>
    <xf numFmtId="167" fontId="14" fillId="0" borderId="0" xfId="1" applyNumberFormat="1" applyFont="1" applyFill="1" applyBorder="1"/>
    <xf numFmtId="0" fontId="7" fillId="4" borderId="2" xfId="0" applyFont="1" applyFill="1" applyBorder="1" applyAlignment="1"/>
    <xf numFmtId="0" fontId="14" fillId="0" borderId="0" xfId="0" applyFont="1" applyFill="1" applyBorder="1" applyAlignment="1">
      <alignment horizontal="left" indent="1"/>
    </xf>
    <xf numFmtId="168" fontId="6" fillId="0" borderId="9" xfId="0" applyNumberFormat="1" applyFont="1" applyFill="1" applyBorder="1" applyAlignment="1">
      <alignment horizontal="center"/>
    </xf>
    <xf numFmtId="168" fontId="6" fillId="0" borderId="7" xfId="0" applyNumberFormat="1" applyFont="1" applyFill="1" applyBorder="1" applyAlignment="1">
      <alignment horizontal="center"/>
    </xf>
    <xf numFmtId="168" fontId="6" fillId="0" borderId="22" xfId="0" applyNumberFormat="1" applyFont="1" applyFill="1" applyBorder="1" applyAlignment="1">
      <alignment horizontal="center"/>
    </xf>
    <xf numFmtId="168" fontId="6" fillId="0" borderId="21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3" xfId="0" applyFont="1" applyFill="1" applyBorder="1" applyAlignment="1"/>
    <xf numFmtId="0" fontId="7" fillId="4" borderId="15" xfId="0" applyFont="1" applyFill="1" applyBorder="1" applyAlignment="1"/>
    <xf numFmtId="167" fontId="11" fillId="0" borderId="21" xfId="1" applyNumberFormat="1" applyFont="1" applyFill="1" applyBorder="1"/>
    <xf numFmtId="167" fontId="14" fillId="0" borderId="21" xfId="1" applyNumberFormat="1" applyFont="1" applyFill="1" applyBorder="1"/>
    <xf numFmtId="165" fontId="14" fillId="0" borderId="0" xfId="0" applyNumberFormat="1" applyFont="1" applyBorder="1" applyAlignment="1"/>
    <xf numFmtId="165" fontId="7" fillId="0" borderId="7" xfId="0" applyNumberFormat="1" applyFont="1" applyBorder="1" applyAlignment="1"/>
    <xf numFmtId="165" fontId="7" fillId="0" borderId="0" xfId="0" applyNumberFormat="1" applyFont="1" applyBorder="1" applyAlignment="1"/>
    <xf numFmtId="0" fontId="15" fillId="0" borderId="7" xfId="0" applyFont="1" applyFill="1" applyBorder="1"/>
    <xf numFmtId="165" fontId="11" fillId="7" borderId="15" xfId="0" applyNumberFormat="1" applyFont="1" applyFill="1" applyBorder="1"/>
    <xf numFmtId="165" fontId="11" fillId="7" borderId="22" xfId="0" applyNumberFormat="1" applyFont="1" applyFill="1" applyBorder="1"/>
    <xf numFmtId="165" fontId="11" fillId="7" borderId="11" xfId="0" applyNumberFormat="1" applyFont="1" applyFill="1" applyBorder="1"/>
    <xf numFmtId="165" fontId="14" fillId="7" borderId="21" xfId="0" applyNumberFormat="1" applyFont="1" applyFill="1" applyBorder="1"/>
    <xf numFmtId="165" fontId="14" fillId="7" borderId="0" xfId="0" applyNumberFormat="1" applyFont="1" applyFill="1" applyBorder="1"/>
    <xf numFmtId="165" fontId="14" fillId="7" borderId="13" xfId="0" applyNumberFormat="1" applyFont="1" applyFill="1" applyBorder="1"/>
    <xf numFmtId="165" fontId="7" fillId="7" borderId="7" xfId="0" applyNumberFormat="1" applyFont="1" applyFill="1" applyBorder="1"/>
    <xf numFmtId="165" fontId="14" fillId="7" borderId="7" xfId="0" applyNumberFormat="1" applyFont="1" applyFill="1" applyBorder="1"/>
    <xf numFmtId="165" fontId="14" fillId="7" borderId="9" xfId="0" applyNumberFormat="1" applyFont="1" applyFill="1" applyBorder="1"/>
    <xf numFmtId="165" fontId="14" fillId="7" borderId="22" xfId="0" applyNumberFormat="1" applyFont="1" applyFill="1" applyBorder="1"/>
    <xf numFmtId="165" fontId="7" fillId="7" borderId="0" xfId="0" applyNumberFormat="1" applyFont="1" applyFill="1" applyBorder="1"/>
    <xf numFmtId="165" fontId="7" fillId="7" borderId="2" xfId="0" applyNumberFormat="1" applyFont="1" applyFill="1" applyBorder="1"/>
    <xf numFmtId="165" fontId="14" fillId="7" borderId="2" xfId="0" applyNumberFormat="1" applyFont="1" applyFill="1" applyBorder="1"/>
    <xf numFmtId="165" fontId="14" fillId="7" borderId="23" xfId="0" applyNumberFormat="1" applyFont="1" applyFill="1" applyBorder="1"/>
    <xf numFmtId="165" fontId="14" fillId="7" borderId="15" xfId="0" applyNumberFormat="1" applyFont="1" applyFill="1" applyBorder="1"/>
    <xf numFmtId="168" fontId="11" fillId="5" borderId="1" xfId="0" applyNumberFormat="1" applyFont="1" applyFill="1" applyBorder="1" applyAlignment="1">
      <alignment horizontal="center"/>
    </xf>
    <xf numFmtId="175" fontId="14" fillId="0" borderId="0" xfId="1" applyNumberFormat="1" applyFont="1" applyFill="1" applyBorder="1"/>
    <xf numFmtId="175" fontId="14" fillId="0" borderId="0" xfId="0" applyNumberFormat="1" applyFont="1" applyFill="1" applyBorder="1" applyAlignment="1">
      <alignment horizontal="center"/>
    </xf>
    <xf numFmtId="168" fontId="14" fillId="8" borderId="12" xfId="0" applyNumberFormat="1" applyFont="1" applyFill="1" applyBorder="1" applyAlignment="1">
      <alignment horizontal="center"/>
    </xf>
    <xf numFmtId="175" fontId="14" fillId="0" borderId="0" xfId="1" applyNumberFormat="1" applyFont="1" applyFill="1" applyBorder="1" applyAlignment="1">
      <alignment horizontal="center"/>
    </xf>
    <xf numFmtId="41" fontId="11" fillId="5" borderId="1" xfId="0" applyNumberFormat="1" applyFont="1" applyFill="1" applyBorder="1"/>
    <xf numFmtId="0" fontId="13" fillId="7" borderId="1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168" fontId="15" fillId="8" borderId="14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7" fontId="14" fillId="0" borderId="9" xfId="1" applyNumberFormat="1" applyFont="1" applyFill="1" applyBorder="1"/>
    <xf numFmtId="167" fontId="14" fillId="0" borderId="7" xfId="1" applyNumberFormat="1" applyFont="1" applyFill="1" applyBorder="1"/>
    <xf numFmtId="168" fontId="11" fillId="0" borderId="0" xfId="0" applyNumberFormat="1" applyFont="1" applyFill="1" applyBorder="1" applyAlignment="1">
      <alignment horizontal="center"/>
    </xf>
    <xf numFmtId="165" fontId="21" fillId="7" borderId="10" xfId="0" applyNumberFormat="1" applyFont="1" applyFill="1" applyBorder="1"/>
    <xf numFmtId="171" fontId="15" fillId="0" borderId="0" xfId="0" applyNumberFormat="1" applyFont="1"/>
    <xf numFmtId="165" fontId="11" fillId="0" borderId="2" xfId="0" applyNumberFormat="1" applyFont="1" applyFill="1" applyBorder="1"/>
    <xf numFmtId="165" fontId="11" fillId="0" borderId="15" xfId="0" applyNumberFormat="1" applyFont="1" applyFill="1" applyBorder="1"/>
    <xf numFmtId="165" fontId="14" fillId="0" borderId="7" xfId="0" applyNumberFormat="1" applyFont="1" applyFill="1" applyBorder="1"/>
    <xf numFmtId="165" fontId="14" fillId="0" borderId="22" xfId="0" applyNumberFormat="1" applyFont="1" applyFill="1" applyBorder="1"/>
    <xf numFmtId="165" fontId="14" fillId="0" borderId="0" xfId="0" applyNumberFormat="1" applyFont="1" applyFill="1" applyBorder="1"/>
    <xf numFmtId="165" fontId="14" fillId="0" borderId="13" xfId="0" applyNumberFormat="1" applyFont="1" applyFill="1" applyBorder="1"/>
    <xf numFmtId="172" fontId="14" fillId="0" borderId="7" xfId="1" applyNumberFormat="1" applyFont="1" applyFill="1" applyBorder="1"/>
    <xf numFmtId="172" fontId="14" fillId="0" borderId="22" xfId="1" applyNumberFormat="1" applyFont="1" applyFill="1" applyBorder="1"/>
    <xf numFmtId="172" fontId="14" fillId="0" borderId="0" xfId="1" applyNumberFormat="1" applyFont="1" applyFill="1" applyBorder="1"/>
    <xf numFmtId="172" fontId="14" fillId="0" borderId="13" xfId="1" applyNumberFormat="1" applyFont="1" applyFill="1" applyBorder="1"/>
    <xf numFmtId="0" fontId="4" fillId="0" borderId="0" xfId="0" applyFont="1"/>
    <xf numFmtId="0" fontId="4" fillId="0" borderId="0" xfId="0" applyFont="1" applyBorder="1" applyAlignment="1"/>
    <xf numFmtId="165" fontId="4" fillId="0" borderId="0" xfId="0" applyNumberFormat="1" applyFont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/>
    <xf numFmtId="0" fontId="4" fillId="4" borderId="2" xfId="0" applyFont="1" applyFill="1" applyBorder="1"/>
    <xf numFmtId="171" fontId="4" fillId="0" borderId="0" xfId="0" applyNumberFormat="1" applyFont="1"/>
    <xf numFmtId="0" fontId="4" fillId="0" borderId="7" xfId="0" applyFont="1" applyBorder="1"/>
    <xf numFmtId="0" fontId="4" fillId="0" borderId="0" xfId="0" applyFont="1" applyBorder="1" applyAlignment="1">
      <alignment horizontal="left" indent="1"/>
    </xf>
    <xf numFmtId="165" fontId="4" fillId="5" borderId="4" xfId="1" applyNumberFormat="1" applyFont="1" applyFill="1" applyBorder="1"/>
    <xf numFmtId="43" fontId="4" fillId="0" borderId="0" xfId="0" applyNumberFormat="1" applyFont="1"/>
    <xf numFmtId="169" fontId="4" fillId="0" borderId="0" xfId="0" applyNumberFormat="1" applyFont="1"/>
    <xf numFmtId="0" fontId="4" fillId="0" borderId="0" xfId="0" applyFont="1" applyBorder="1"/>
    <xf numFmtId="42" fontId="4" fillId="0" borderId="0" xfId="0" applyNumberFormat="1" applyFont="1"/>
    <xf numFmtId="0" fontId="4" fillId="0" borderId="0" xfId="0" applyFont="1" applyAlignment="1"/>
    <xf numFmtId="0" fontId="14" fillId="0" borderId="0" xfId="0" applyFont="1" applyFill="1" applyBorder="1" applyAlignment="1">
      <alignment horizontal="left"/>
    </xf>
    <xf numFmtId="171" fontId="4" fillId="0" borderId="0" xfId="0" applyNumberFormat="1" applyFont="1" applyFill="1"/>
    <xf numFmtId="0" fontId="4" fillId="0" borderId="0" xfId="0" applyFont="1" applyFill="1" applyAlignment="1"/>
    <xf numFmtId="170" fontId="11" fillId="5" borderId="1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174" fontId="11" fillId="5" borderId="1" xfId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indent="1"/>
    </xf>
    <xf numFmtId="0" fontId="4" fillId="0" borderId="2" xfId="0" applyFont="1" applyFill="1" applyBorder="1"/>
    <xf numFmtId="165" fontId="12" fillId="0" borderId="2" xfId="0" applyNumberFormat="1" applyFont="1" applyFill="1" applyBorder="1"/>
    <xf numFmtId="165" fontId="7" fillId="0" borderId="0" xfId="0" applyNumberFormat="1" applyFont="1" applyFill="1" applyBorder="1"/>
    <xf numFmtId="165" fontId="4" fillId="0" borderId="0" xfId="0" applyNumberFormat="1" applyFont="1" applyFill="1" applyAlignment="1"/>
    <xf numFmtId="0" fontId="14" fillId="0" borderId="0" xfId="0" applyFont="1" applyFill="1" applyAlignment="1">
      <alignment horizontal="left" indent="1"/>
    </xf>
    <xf numFmtId="0" fontId="14" fillId="0" borderId="0" xfId="0" applyFont="1" applyFill="1"/>
    <xf numFmtId="165" fontId="4" fillId="0" borderId="2" xfId="0" applyNumberFormat="1" applyFont="1" applyFill="1" applyBorder="1"/>
    <xf numFmtId="0" fontId="14" fillId="0" borderId="0" xfId="0" applyFont="1" applyBorder="1"/>
    <xf numFmtId="0" fontId="4" fillId="4" borderId="10" xfId="0" applyFont="1" applyFill="1" applyBorder="1"/>
    <xf numFmtId="0" fontId="4" fillId="4" borderId="20" xfId="0" applyFont="1" applyFill="1" applyBorder="1"/>
    <xf numFmtId="0" fontId="4" fillId="4" borderId="11" xfId="0" applyFont="1" applyFill="1" applyBorder="1"/>
    <xf numFmtId="0" fontId="4" fillId="0" borderId="21" xfId="0" applyFont="1" applyBorder="1"/>
    <xf numFmtId="0" fontId="4" fillId="0" borderId="13" xfId="0" applyFont="1" applyBorder="1"/>
    <xf numFmtId="165" fontId="4" fillId="0" borderId="21" xfId="0" applyNumberFormat="1" applyFont="1" applyBorder="1"/>
    <xf numFmtId="165" fontId="4" fillId="0" borderId="0" xfId="0" applyNumberFormat="1" applyFont="1" applyBorder="1"/>
    <xf numFmtId="165" fontId="4" fillId="0" borderId="13" xfId="0" applyNumberFormat="1" applyFont="1" applyBorder="1"/>
    <xf numFmtId="171" fontId="4" fillId="0" borderId="13" xfId="0" applyNumberFormat="1" applyFont="1" applyBorder="1"/>
    <xf numFmtId="165" fontId="4" fillId="0" borderId="23" xfId="0" applyNumberFormat="1" applyFont="1" applyBorder="1"/>
    <xf numFmtId="165" fontId="4" fillId="0" borderId="2" xfId="0" applyNumberFormat="1" applyFont="1" applyBorder="1"/>
    <xf numFmtId="165" fontId="4" fillId="0" borderId="15" xfId="0" applyNumberFormat="1" applyFont="1" applyBorder="1"/>
    <xf numFmtId="0" fontId="4" fillId="4" borderId="23" xfId="0" applyFont="1" applyFill="1" applyBorder="1"/>
    <xf numFmtId="0" fontId="4" fillId="4" borderId="15" xfId="0" applyFont="1" applyFill="1" applyBorder="1"/>
    <xf numFmtId="0" fontId="4" fillId="0" borderId="0" xfId="0" applyFont="1" applyAlignment="1">
      <alignment horizontal="left"/>
    </xf>
    <xf numFmtId="170" fontId="4" fillId="0" borderId="0" xfId="0" applyNumberFormat="1" applyFont="1"/>
    <xf numFmtId="0" fontId="4" fillId="0" borderId="21" xfId="0" applyFont="1" applyFill="1" applyBorder="1"/>
    <xf numFmtId="0" fontId="4" fillId="0" borderId="13" xfId="0" applyFont="1" applyFill="1" applyBorder="1"/>
    <xf numFmtId="0" fontId="4" fillId="0" borderId="0" xfId="0" applyFont="1" applyBorder="1" applyAlignment="1">
      <alignment horizontal="left"/>
    </xf>
    <xf numFmtId="0" fontId="4" fillId="0" borderId="9" xfId="0" applyFont="1" applyBorder="1"/>
    <xf numFmtId="0" fontId="4" fillId="0" borderId="22" xfId="0" applyFont="1" applyBorder="1"/>
    <xf numFmtId="0" fontId="4" fillId="7" borderId="7" xfId="0" applyFont="1" applyFill="1" applyBorder="1" applyAlignment="1">
      <alignment horizontal="left" indent="1"/>
    </xf>
    <xf numFmtId="0" fontId="4" fillId="7" borderId="7" xfId="0" applyFont="1" applyFill="1" applyBorder="1"/>
    <xf numFmtId="165" fontId="4" fillId="7" borderId="7" xfId="0" applyNumberFormat="1" applyFont="1" applyFill="1" applyBorder="1"/>
    <xf numFmtId="0" fontId="4" fillId="7" borderId="0" xfId="0" applyFont="1" applyFill="1" applyAlignment="1">
      <alignment horizontal="left" indent="1"/>
    </xf>
    <xf numFmtId="0" fontId="4" fillId="7" borderId="0" xfId="0" applyFont="1" applyFill="1"/>
    <xf numFmtId="165" fontId="4" fillId="7" borderId="0" xfId="0" applyNumberFormat="1" applyFont="1" applyFill="1"/>
    <xf numFmtId="0" fontId="4" fillId="7" borderId="10" xfId="0" applyFont="1" applyFill="1" applyBorder="1" applyAlignment="1">
      <alignment horizontal="left" indent="1"/>
    </xf>
    <xf numFmtId="0" fontId="4" fillId="7" borderId="10" xfId="0" applyFont="1" applyFill="1" applyBorder="1"/>
    <xf numFmtId="0" fontId="4" fillId="7" borderId="11" xfId="0" applyFont="1" applyFill="1" applyBorder="1"/>
    <xf numFmtId="165" fontId="4" fillId="7" borderId="10" xfId="0" applyNumberFormat="1" applyFont="1" applyFill="1" applyBorder="1"/>
    <xf numFmtId="165" fontId="4" fillId="4" borderId="10" xfId="0" applyNumberFormat="1" applyFont="1" applyFill="1" applyBorder="1"/>
    <xf numFmtId="165" fontId="4" fillId="4" borderId="20" xfId="0" applyNumberFormat="1" applyFont="1" applyFill="1" applyBorder="1"/>
    <xf numFmtId="165" fontId="4" fillId="4" borderId="11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5" fontId="4" fillId="0" borderId="13" xfId="0" applyNumberFormat="1" applyFont="1" applyFill="1" applyBorder="1"/>
    <xf numFmtId="165" fontId="4" fillId="7" borderId="9" xfId="0" applyNumberFormat="1" applyFont="1" applyFill="1" applyBorder="1"/>
    <xf numFmtId="165" fontId="4" fillId="7" borderId="22" xfId="0" applyNumberFormat="1" applyFont="1" applyFill="1" applyBorder="1"/>
    <xf numFmtId="0" fontId="4" fillId="7" borderId="0" xfId="0" applyFont="1" applyFill="1" applyBorder="1" applyAlignment="1">
      <alignment horizontal="left" indent="1"/>
    </xf>
    <xf numFmtId="165" fontId="4" fillId="7" borderId="21" xfId="0" applyNumberFormat="1" applyFont="1" applyFill="1" applyBorder="1"/>
    <xf numFmtId="165" fontId="4" fillId="7" borderId="0" xfId="0" applyNumberFormat="1" applyFont="1" applyFill="1" applyBorder="1"/>
    <xf numFmtId="165" fontId="4" fillId="7" borderId="13" xfId="0" applyNumberFormat="1" applyFont="1" applyFill="1" applyBorder="1"/>
    <xf numFmtId="0" fontId="4" fillId="7" borderId="2" xfId="0" applyFont="1" applyFill="1" applyBorder="1" applyAlignment="1">
      <alignment horizontal="left" indent="1"/>
    </xf>
    <xf numFmtId="165" fontId="4" fillId="7" borderId="23" xfId="0" applyNumberFormat="1" applyFont="1" applyFill="1" applyBorder="1"/>
    <xf numFmtId="165" fontId="4" fillId="7" borderId="15" xfId="0" applyNumberFormat="1" applyFont="1" applyFill="1" applyBorder="1"/>
    <xf numFmtId="165" fontId="4" fillId="7" borderId="2" xfId="0" applyNumberFormat="1" applyFont="1" applyFill="1" applyBorder="1"/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 applyAlignment="1">
      <alignment horizontal="left" indent="2"/>
    </xf>
    <xf numFmtId="165" fontId="4" fillId="0" borderId="2" xfId="0" applyNumberFormat="1" applyFont="1" applyBorder="1" applyAlignment="1"/>
    <xf numFmtId="0" fontId="4" fillId="0" borderId="0" xfId="0" applyFont="1" applyBorder="1" applyAlignment="1">
      <alignment horizontal="left" indent="2"/>
    </xf>
    <xf numFmtId="165" fontId="4" fillId="0" borderId="0" xfId="0" applyNumberFormat="1" applyFont="1" applyBorder="1" applyAlignment="1"/>
    <xf numFmtId="0" fontId="4" fillId="0" borderId="0" xfId="0" applyNumberFormat="1" applyFont="1" applyBorder="1" applyAlignment="1"/>
    <xf numFmtId="170" fontId="4" fillId="0" borderId="2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11" fillId="5" borderId="1" xfId="0" applyNumberFormat="1" applyFont="1" applyFill="1" applyBorder="1" applyAlignment="1">
      <alignment horizontal="center"/>
    </xf>
    <xf numFmtId="169" fontId="11" fillId="0" borderId="0" xfId="0" applyNumberFormat="1" applyFont="1" applyFill="1" applyBorder="1"/>
    <xf numFmtId="169" fontId="11" fillId="5" borderId="1" xfId="0" applyNumberFormat="1" applyFont="1" applyFill="1" applyBorder="1" applyAlignment="1">
      <alignment horizontal="center"/>
    </xf>
    <xf numFmtId="170" fontId="11" fillId="5" borderId="1" xfId="1" applyNumberFormat="1" applyFont="1" applyFill="1" applyAlignment="1">
      <alignment horizontal="center"/>
    </xf>
    <xf numFmtId="175" fontId="11" fillId="5" borderId="1" xfId="1" applyNumberFormat="1" applyFont="1" applyFill="1" applyAlignment="1">
      <alignment horizontal="center"/>
    </xf>
    <xf numFmtId="0" fontId="23" fillId="0" borderId="0" xfId="0" applyFont="1"/>
    <xf numFmtId="165" fontId="11" fillId="5" borderId="17" xfId="0" applyNumberFormat="1" applyFont="1" applyFill="1" applyBorder="1" applyAlignment="1">
      <alignment horizontal="center"/>
    </xf>
    <xf numFmtId="172" fontId="11" fillId="5" borderId="24" xfId="1" applyNumberFormat="1" applyFont="1" applyFill="1" applyBorder="1" applyAlignment="1">
      <alignment horizontal="center"/>
    </xf>
    <xf numFmtId="172" fontId="11" fillId="5" borderId="1" xfId="1" applyNumberFormat="1" applyFont="1" applyFill="1" applyAlignment="1">
      <alignment horizontal="center"/>
    </xf>
    <xf numFmtId="170" fontId="11" fillId="5" borderId="2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76" fontId="11" fillId="5" borderId="1" xfId="1" applyNumberFormat="1" applyFont="1" applyFill="1" applyAlignment="1">
      <alignment horizontal="centerContinuous"/>
    </xf>
    <xf numFmtId="169" fontId="14" fillId="0" borderId="19" xfId="0" applyNumberFormat="1" applyFont="1" applyFill="1" applyBorder="1" applyAlignment="1">
      <alignment horizontal="center"/>
    </xf>
    <xf numFmtId="170" fontId="12" fillId="0" borderId="18" xfId="1" applyNumberFormat="1" applyFont="1" applyFill="1" applyBorder="1" applyAlignment="1">
      <alignment horizontal="center"/>
    </xf>
    <xf numFmtId="170" fontId="12" fillId="0" borderId="8" xfId="1" applyNumberFormat="1" applyFont="1" applyFill="1" applyBorder="1" applyAlignment="1">
      <alignment horizontal="center"/>
    </xf>
    <xf numFmtId="170" fontId="12" fillId="0" borderId="0" xfId="1" applyNumberFormat="1" applyFont="1" applyFill="1" applyBorder="1" applyAlignment="1">
      <alignment horizontal="center"/>
    </xf>
    <xf numFmtId="170" fontId="4" fillId="0" borderId="2" xfId="1" applyNumberFormat="1" applyFont="1" applyFill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69" fontId="14" fillId="0" borderId="7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69" fontId="15" fillId="0" borderId="7" xfId="0" applyNumberFormat="1" applyFont="1" applyFill="1" applyBorder="1" applyAlignment="1">
      <alignment horizontal="center"/>
    </xf>
    <xf numFmtId="169" fontId="7" fillId="0" borderId="7" xfId="0" applyNumberFormat="1" applyFont="1" applyBorder="1" applyAlignment="1">
      <alignment horizontal="center"/>
    </xf>
    <xf numFmtId="0" fontId="3" fillId="7" borderId="7" xfId="0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7" fillId="0" borderId="0" xfId="0" applyFont="1" applyBorder="1" applyAlignment="1">
      <alignment horizontal="left" indent="1"/>
    </xf>
    <xf numFmtId="165" fontId="14" fillId="0" borderId="2" xfId="0" applyNumberFormat="1" applyFont="1" applyBorder="1" applyAlignment="1"/>
    <xf numFmtId="0" fontId="3" fillId="0" borderId="2" xfId="0" applyFont="1" applyBorder="1" applyAlignment="1">
      <alignment horizontal="left" indent="2"/>
    </xf>
    <xf numFmtId="165" fontId="15" fillId="0" borderId="0" xfId="0" applyNumberFormat="1" applyFont="1" applyBorder="1" applyAlignment="1"/>
    <xf numFmtId="167" fontId="15" fillId="5" borderId="25" xfId="1" applyNumberFormat="1" applyFont="1" applyFill="1" applyBorder="1"/>
    <xf numFmtId="167" fontId="15" fillId="5" borderId="26" xfId="1" applyNumberFormat="1" applyFont="1" applyFill="1" applyBorder="1"/>
    <xf numFmtId="171" fontId="4" fillId="0" borderId="7" xfId="0" applyNumberFormat="1" applyFont="1" applyBorder="1"/>
    <xf numFmtId="177" fontId="11" fillId="4" borderId="10" xfId="2" applyNumberFormat="1" applyFont="1" applyFill="1" applyBorder="1" applyAlignment="1">
      <alignment horizontal="center"/>
    </xf>
    <xf numFmtId="177" fontId="14" fillId="4" borderId="10" xfId="2" applyNumberFormat="1" applyFont="1" applyFill="1" applyBorder="1" applyAlignment="1">
      <alignment horizontal="center"/>
    </xf>
    <xf numFmtId="177" fontId="15" fillId="4" borderId="10" xfId="2" applyNumberFormat="1" applyFont="1" applyFill="1" applyBorder="1" applyAlignment="1">
      <alignment horizontal="center"/>
    </xf>
    <xf numFmtId="177" fontId="14" fillId="4" borderId="11" xfId="2" applyNumberFormat="1" applyFont="1" applyFill="1" applyBorder="1" applyAlignment="1">
      <alignment horizontal="center"/>
    </xf>
    <xf numFmtId="170" fontId="20" fillId="0" borderId="0" xfId="1" applyNumberFormat="1" applyFont="1" applyFill="1" applyBorder="1" applyAlignment="1">
      <alignment horizontal="center"/>
    </xf>
    <xf numFmtId="177" fontId="11" fillId="4" borderId="13" xfId="2" applyNumberFormat="1" applyFont="1" applyFill="1" applyBorder="1" applyAlignment="1">
      <alignment horizontal="center"/>
    </xf>
    <xf numFmtId="177" fontId="14" fillId="4" borderId="13" xfId="2" applyNumberFormat="1" applyFont="1" applyFill="1" applyBorder="1" applyAlignment="1">
      <alignment horizontal="center"/>
    </xf>
    <xf numFmtId="177" fontId="15" fillId="4" borderId="13" xfId="2" applyNumberFormat="1" applyFont="1" applyFill="1" applyBorder="1" applyAlignment="1">
      <alignment horizontal="center"/>
    </xf>
    <xf numFmtId="177" fontId="14" fillId="4" borderId="15" xfId="2" applyNumberFormat="1" applyFont="1" applyFill="1" applyBorder="1" applyAlignment="1">
      <alignment horizontal="center"/>
    </xf>
    <xf numFmtId="169" fontId="7" fillId="0" borderId="13" xfId="0" applyNumberFormat="1" applyFont="1" applyBorder="1"/>
    <xf numFmtId="170" fontId="20" fillId="0" borderId="13" xfId="1" applyNumberFormat="1" applyFont="1" applyFill="1" applyBorder="1"/>
    <xf numFmtId="169" fontId="14" fillId="5" borderId="24" xfId="0" applyNumberFormat="1" applyFont="1" applyFill="1" applyBorder="1" applyAlignment="1">
      <alignment horizontal="center"/>
    </xf>
    <xf numFmtId="169" fontId="14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171" fontId="14" fillId="7" borderId="20" xfId="0" applyNumberFormat="1" applyFont="1" applyFill="1" applyBorder="1"/>
    <xf numFmtId="0" fontId="6" fillId="6" borderId="12" xfId="2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te" xfId="1" builtinId="10"/>
  </cellStyles>
  <dxfs count="0"/>
  <tableStyles count="0" defaultTableStyle="TableStyleMedium2" defaultPivotStyle="PivotStyleLight16"/>
  <colors>
    <mruColors>
      <color rgb="FF0000FF"/>
      <color rgb="FFD9D9D9"/>
      <color rgb="FFB2B2B2"/>
      <color rgb="FFFFFF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P288"/>
  <sheetViews>
    <sheetView showGridLines="0" tabSelected="1" zoomScaleNormal="100" workbookViewId="0">
      <selection activeCell="B2" sqref="B2"/>
    </sheetView>
  </sheetViews>
  <sheetFormatPr defaultRowHeight="15.75" customHeight="1" outlineLevelRow="2" outlineLevelCol="2" x14ac:dyDescent="0.25"/>
  <cols>
    <col min="1" max="2" width="2.7109375" style="196" customWidth="1"/>
    <col min="3" max="3" width="47" style="196" customWidth="1"/>
    <col min="4" max="4" width="12.7109375" style="196" customWidth="1"/>
    <col min="5" max="6" width="12.7109375" style="196" customWidth="1" outlineLevel="2"/>
    <col min="7" max="9" width="12.7109375" style="196" customWidth="1" outlineLevel="1"/>
    <col min="10" max="15" width="12.7109375" style="196" customWidth="1"/>
    <col min="16" max="16" width="2.7109375" style="196" customWidth="1"/>
    <col min="17" max="16384" width="9.140625" style="196"/>
  </cols>
  <sheetData>
    <row r="2" spans="2:15" ht="15.75" customHeight="1" x14ac:dyDescent="0.3">
      <c r="B2" s="296" t="str">
        <f>Company_Name&amp;" - LBO Case Study"</f>
        <v>Random App Co. - LBO Case Study</v>
      </c>
    </row>
    <row r="3" spans="2:15" ht="15.75" customHeight="1" x14ac:dyDescent="0.25">
      <c r="B3" s="196" t="s">
        <v>171</v>
      </c>
    </row>
    <row r="5" spans="2:15" ht="15.75" customHeight="1" x14ac:dyDescent="0.25">
      <c r="B5" s="4" t="s">
        <v>166</v>
      </c>
      <c r="C5" s="5"/>
      <c r="D5" s="6"/>
      <c r="E5" s="7"/>
      <c r="F5" s="7"/>
      <c r="G5" s="7"/>
      <c r="H5" s="7"/>
      <c r="I5" s="7"/>
      <c r="J5" s="7"/>
      <c r="K5" s="7"/>
      <c r="L5" s="6"/>
      <c r="M5" s="7"/>
      <c r="N5" s="7"/>
      <c r="O5" s="7"/>
    </row>
    <row r="6" spans="2:15" ht="15.75" customHeight="1" outlineLevel="1" x14ac:dyDescent="0.25"/>
    <row r="7" spans="2:15" ht="15.75" customHeight="1" outlineLevel="1" x14ac:dyDescent="0.25">
      <c r="C7" s="196" t="s">
        <v>0</v>
      </c>
      <c r="D7" s="37" t="s">
        <v>202</v>
      </c>
      <c r="E7" s="37"/>
      <c r="H7" s="196" t="s">
        <v>145</v>
      </c>
      <c r="K7" s="70">
        <v>20</v>
      </c>
    </row>
    <row r="8" spans="2:15" ht="15.75" customHeight="1" outlineLevel="1" x14ac:dyDescent="0.25">
      <c r="C8" s="197" t="s">
        <v>162</v>
      </c>
      <c r="D8" s="8">
        <v>43830</v>
      </c>
      <c r="H8" s="197" t="s">
        <v>41</v>
      </c>
      <c r="K8" s="294">
        <v>0.25</v>
      </c>
    </row>
    <row r="9" spans="2:15" ht="15.75" customHeight="1" outlineLevel="1" x14ac:dyDescent="0.25">
      <c r="C9" s="196" t="s">
        <v>151</v>
      </c>
      <c r="D9" s="174">
        <v>1000</v>
      </c>
    </row>
    <row r="10" spans="2:15" ht="15.75" customHeight="1" outlineLevel="1" x14ac:dyDescent="0.25">
      <c r="H10" s="196" t="s">
        <v>149</v>
      </c>
      <c r="K10" s="169">
        <v>45657</v>
      </c>
    </row>
    <row r="11" spans="2:15" ht="15.75" customHeight="1" outlineLevel="1" x14ac:dyDescent="0.25">
      <c r="C11" s="196" t="s">
        <v>167</v>
      </c>
      <c r="D11" s="302">
        <v>1</v>
      </c>
      <c r="F11" s="301"/>
      <c r="K11" s="183"/>
    </row>
    <row r="12" spans="2:15" ht="15.75" customHeight="1" outlineLevel="1" x14ac:dyDescent="0.25">
      <c r="C12" s="196" t="s">
        <v>184</v>
      </c>
      <c r="D12" s="302">
        <v>0</v>
      </c>
      <c r="F12" s="301"/>
      <c r="H12" s="196" t="s">
        <v>165</v>
      </c>
      <c r="K12" s="293">
        <v>11</v>
      </c>
    </row>
    <row r="13" spans="2:15" ht="15.75" customHeight="1" outlineLevel="1" x14ac:dyDescent="0.25">
      <c r="C13" s="314" t="s">
        <v>200</v>
      </c>
      <c r="H13" s="279" t="s">
        <v>168</v>
      </c>
      <c r="I13" s="201"/>
      <c r="J13" s="201"/>
      <c r="K13" s="292"/>
    </row>
    <row r="14" spans="2:15" ht="15.75" customHeight="1" outlineLevel="1" x14ac:dyDescent="0.25">
      <c r="E14" s="199"/>
    </row>
    <row r="15" spans="2:15" ht="15.75" customHeight="1" outlineLevel="1" x14ac:dyDescent="0.25">
      <c r="C15" s="196" t="s">
        <v>23</v>
      </c>
      <c r="D15" s="198">
        <f>G109</f>
        <v>39.673750000000005</v>
      </c>
      <c r="E15" s="200"/>
      <c r="H15" s="279"/>
      <c r="I15" s="201"/>
      <c r="J15" s="201"/>
      <c r="K15" s="292"/>
    </row>
    <row r="16" spans="2:15" ht="15.75" customHeight="1" outlineLevel="1" x14ac:dyDescent="0.25">
      <c r="C16" s="196" t="s">
        <v>24</v>
      </c>
      <c r="D16" s="293">
        <v>15</v>
      </c>
      <c r="E16" s="201"/>
      <c r="H16" s="23"/>
      <c r="I16" s="201"/>
      <c r="J16" s="201"/>
      <c r="K16" s="201"/>
    </row>
    <row r="17" spans="2:15" ht="15.75" customHeight="1" outlineLevel="1" x14ac:dyDescent="0.25">
      <c r="C17" s="200"/>
      <c r="D17" s="200"/>
      <c r="E17" s="199"/>
    </row>
    <row r="18" spans="2:15" ht="15.75" customHeight="1" outlineLevel="1" x14ac:dyDescent="0.25">
      <c r="C18" s="9" t="s">
        <v>21</v>
      </c>
      <c r="D18" s="96">
        <f>LTM_EBITDA*Purchase_Multiple</f>
        <v>595.10625000000005</v>
      </c>
      <c r="E18" s="201"/>
    </row>
    <row r="19" spans="2:15" ht="15.75" customHeight="1" outlineLevel="1" x14ac:dyDescent="0.25">
      <c r="C19" s="202" t="s">
        <v>109</v>
      </c>
      <c r="D19" s="51">
        <f>G126</f>
        <v>88.241240542808228</v>
      </c>
      <c r="E19" s="201"/>
    </row>
    <row r="20" spans="2:15" ht="15.75" customHeight="1" outlineLevel="1" x14ac:dyDescent="0.25">
      <c r="C20" s="202" t="s">
        <v>110</v>
      </c>
      <c r="D20" s="51">
        <f>-G147</f>
        <v>-50</v>
      </c>
      <c r="E20" s="201"/>
    </row>
    <row r="21" spans="2:15" ht="15.75" customHeight="1" outlineLevel="1" x14ac:dyDescent="0.25">
      <c r="C21" s="97" t="s">
        <v>104</v>
      </c>
      <c r="D21" s="98">
        <f>SUM(D18:D20)</f>
        <v>633.34749054280826</v>
      </c>
      <c r="E21" s="201"/>
    </row>
    <row r="22" spans="2:15" ht="15.75" customHeight="1" x14ac:dyDescent="0.25">
      <c r="E22" s="201"/>
    </row>
    <row r="23" spans="2:15" ht="15.75" customHeight="1" x14ac:dyDescent="0.25">
      <c r="B23" s="4" t="s">
        <v>169</v>
      </c>
      <c r="C23" s="5"/>
      <c r="D23" s="6"/>
      <c r="E23" s="7"/>
      <c r="F23" s="7"/>
      <c r="G23" s="7"/>
      <c r="H23" s="7"/>
      <c r="I23" s="7"/>
      <c r="J23" s="7"/>
      <c r="K23" s="7"/>
      <c r="L23" s="6"/>
      <c r="M23" s="7"/>
      <c r="N23" s="7"/>
      <c r="O23" s="7"/>
    </row>
    <row r="24" spans="2:15" ht="15.75" customHeight="1" outlineLevel="1" x14ac:dyDescent="0.25"/>
    <row r="25" spans="2:15" ht="15.75" customHeight="1" outlineLevel="1" x14ac:dyDescent="0.25">
      <c r="C25" s="9" t="s">
        <v>30</v>
      </c>
      <c r="D25" s="31" t="s">
        <v>152</v>
      </c>
      <c r="E25" s="31" t="s">
        <v>20</v>
      </c>
      <c r="F25" s="30" t="s">
        <v>29</v>
      </c>
      <c r="H25" s="9" t="s">
        <v>26</v>
      </c>
      <c r="I25" s="205"/>
      <c r="J25" s="205"/>
      <c r="K25" s="31" t="str">
        <f>$D$25</f>
        <v>$ M</v>
      </c>
      <c r="L25" s="31" t="s">
        <v>20</v>
      </c>
    </row>
    <row r="26" spans="2:15" ht="15.75" customHeight="1" outlineLevel="1" x14ac:dyDescent="0.25">
      <c r="C26" s="202" t="s">
        <v>13</v>
      </c>
      <c r="D26" s="206">
        <f>E26*LTM_EBITDA</f>
        <v>0</v>
      </c>
      <c r="E26" s="293">
        <v>0</v>
      </c>
      <c r="F26" s="304">
        <f>D26/D$30</f>
        <v>0</v>
      </c>
      <c r="H26" s="202" t="s">
        <v>21</v>
      </c>
      <c r="K26" s="81">
        <f>D18</f>
        <v>595.10625000000005</v>
      </c>
      <c r="L26" s="309">
        <f>K26/LTM_EBITDA</f>
        <v>14.999999999999998</v>
      </c>
    </row>
    <row r="27" spans="2:15" ht="15.75" customHeight="1" outlineLevel="1" x14ac:dyDescent="0.25">
      <c r="C27" s="202" t="s">
        <v>173</v>
      </c>
      <c r="D27" s="198">
        <f>E27*LTM_EBITDA</f>
        <v>119.02125000000001</v>
      </c>
      <c r="E27" s="293">
        <v>3</v>
      </c>
      <c r="F27" s="305">
        <f>D27/D$30</f>
        <v>0.19040163172260716</v>
      </c>
      <c r="H27" s="335" t="s">
        <v>203</v>
      </c>
      <c r="K27" s="198">
        <f>Min_Cash</f>
        <v>20</v>
      </c>
      <c r="L27" s="310">
        <f>K27/LTM_EBITDA</f>
        <v>0.5041116607328523</v>
      </c>
    </row>
    <row r="28" spans="2:15" ht="15.75" customHeight="1" outlineLevel="1" x14ac:dyDescent="0.25">
      <c r="C28" s="202" t="s">
        <v>52</v>
      </c>
      <c r="D28" s="198">
        <f>E28*LTM_EBITDA</f>
        <v>79.347500000000011</v>
      </c>
      <c r="E28" s="293">
        <v>2</v>
      </c>
      <c r="F28" s="306">
        <f>D28/D$30</f>
        <v>0.12693442114840478</v>
      </c>
      <c r="H28" s="202" t="s">
        <v>19</v>
      </c>
      <c r="K28" s="297">
        <v>10</v>
      </c>
      <c r="L28" s="310">
        <f>K28/LTM_EBITDA</f>
        <v>0.25205583036642615</v>
      </c>
    </row>
    <row r="29" spans="2:15" ht="15.75" customHeight="1" outlineLevel="1" x14ac:dyDescent="0.25">
      <c r="C29" s="208" t="s">
        <v>174</v>
      </c>
      <c r="D29" s="209">
        <f>K29-SUM(D26:D28)</f>
        <v>426.73750000000001</v>
      </c>
      <c r="E29" s="303">
        <f>D29/LTM_EBITDA</f>
        <v>10.756167491099278</v>
      </c>
      <c r="F29" s="307">
        <f>D29/D$30</f>
        <v>0.68266394712898804</v>
      </c>
      <c r="H29" s="32" t="s">
        <v>9</v>
      </c>
      <c r="I29" s="207"/>
      <c r="J29" s="207"/>
      <c r="K29" s="66">
        <f>SUM(K26:K28)</f>
        <v>625.10625000000005</v>
      </c>
      <c r="L29" s="311">
        <f>SUM(L26:L28)</f>
        <v>15.756167491099276</v>
      </c>
      <c r="N29" s="198"/>
      <c r="O29" s="82"/>
    </row>
    <row r="30" spans="2:15" ht="15.75" customHeight="1" outlineLevel="1" x14ac:dyDescent="0.25">
      <c r="C30" s="32" t="s">
        <v>8</v>
      </c>
      <c r="D30" s="66">
        <f>SUM(D26:D29)</f>
        <v>625.10625000000005</v>
      </c>
      <c r="E30" s="312">
        <f>SUM(E26:E29)</f>
        <v>15.756167491099278</v>
      </c>
      <c r="F30" s="308">
        <f>SUM(F26:F29)</f>
        <v>1</v>
      </c>
    </row>
    <row r="31" spans="2:15" ht="15.75" customHeight="1" x14ac:dyDescent="0.25">
      <c r="N31" s="210"/>
    </row>
    <row r="32" spans="2:15" ht="15.75" customHeight="1" x14ac:dyDescent="0.25">
      <c r="B32" s="4" t="s">
        <v>181</v>
      </c>
      <c r="C32" s="5"/>
      <c r="D32" s="6"/>
      <c r="E32" s="7"/>
      <c r="F32" s="7"/>
      <c r="G32" s="7"/>
      <c r="H32" s="7"/>
      <c r="I32" s="7"/>
      <c r="J32" s="7"/>
      <c r="K32" s="7"/>
      <c r="L32" s="6"/>
      <c r="M32" s="7"/>
      <c r="N32" s="7"/>
      <c r="O32" s="7"/>
    </row>
    <row r="33" spans="2:15" ht="15.75" customHeight="1" outlineLevel="1" x14ac:dyDescent="0.25">
      <c r="N33" s="210"/>
    </row>
    <row r="34" spans="2:15" ht="15.75" customHeight="1" outlineLevel="1" x14ac:dyDescent="0.25">
      <c r="C34" s="9" t="s">
        <v>30</v>
      </c>
      <c r="D34" s="31" t="s">
        <v>152</v>
      </c>
      <c r="E34" s="31" t="s">
        <v>20</v>
      </c>
      <c r="F34" s="30" t="s">
        <v>29</v>
      </c>
      <c r="H34" s="9" t="s">
        <v>26</v>
      </c>
      <c r="I34" s="205"/>
      <c r="J34" s="205"/>
      <c r="K34" s="31" t="str">
        <f>$D$25</f>
        <v>$ M</v>
      </c>
      <c r="L34" s="31" t="s">
        <v>20</v>
      </c>
      <c r="N34" s="210"/>
    </row>
    <row r="35" spans="2:15" ht="15.75" customHeight="1" outlineLevel="1" x14ac:dyDescent="0.25">
      <c r="C35" s="202" t="s">
        <v>13</v>
      </c>
      <c r="D35" s="206">
        <f>E35*LTM_EBITDA</f>
        <v>0</v>
      </c>
      <c r="E35" s="293">
        <v>0</v>
      </c>
      <c r="F35" s="304">
        <f t="shared" ref="F35:F40" si="0">D35/D$41</f>
        <v>0</v>
      </c>
      <c r="H35" s="202" t="s">
        <v>104</v>
      </c>
      <c r="K35" s="81">
        <f>D21</f>
        <v>633.34749054280826</v>
      </c>
      <c r="L35" s="309">
        <f>K35/LTM_EBITDA</f>
        <v>15.963892763925976</v>
      </c>
      <c r="N35" s="210"/>
    </row>
    <row r="36" spans="2:15" ht="15.75" customHeight="1" outlineLevel="1" x14ac:dyDescent="0.25">
      <c r="C36" s="202" t="s">
        <v>173</v>
      </c>
      <c r="D36" s="198">
        <f>E36*LTM_EBITDA</f>
        <v>119.02125000000001</v>
      </c>
      <c r="E36" s="293">
        <v>3</v>
      </c>
      <c r="F36" s="305">
        <f t="shared" si="0"/>
        <v>0.1716617592526665</v>
      </c>
      <c r="H36" s="202" t="s">
        <v>182</v>
      </c>
      <c r="K36" s="198">
        <f>IF(Assume_Debt,0,G147)</f>
        <v>50</v>
      </c>
      <c r="L36" s="310">
        <f>K36/LTM_EBITDA</f>
        <v>1.2602791518321306</v>
      </c>
      <c r="N36" s="210"/>
    </row>
    <row r="37" spans="2:15" ht="15.75" customHeight="1" outlineLevel="1" x14ac:dyDescent="0.25">
      <c r="C37" s="202" t="s">
        <v>52</v>
      </c>
      <c r="D37" s="198">
        <f>E37*LTM_EBITDA</f>
        <v>79.347500000000011</v>
      </c>
      <c r="E37" s="293">
        <v>2</v>
      </c>
      <c r="F37" s="306">
        <f t="shared" si="0"/>
        <v>0.114441172835111</v>
      </c>
      <c r="G37" s="198"/>
      <c r="H37" s="202" t="s">
        <v>185</v>
      </c>
      <c r="K37" s="198">
        <f>IF(Assume_Debt,G147,0)</f>
        <v>0</v>
      </c>
      <c r="L37" s="310">
        <f>K37/LTM_EBITDA</f>
        <v>0</v>
      </c>
      <c r="N37" s="210"/>
    </row>
    <row r="38" spans="2:15" ht="15.75" customHeight="1" outlineLevel="1" x14ac:dyDescent="0.25">
      <c r="C38" s="202" t="s">
        <v>185</v>
      </c>
      <c r="D38" s="198">
        <f>IF(Assume_Debt,G147,0)</f>
        <v>0</v>
      </c>
      <c r="E38" s="310">
        <f>D38/LTM_EBITDA</f>
        <v>0</v>
      </c>
      <c r="F38" s="306">
        <f t="shared" si="0"/>
        <v>0</v>
      </c>
      <c r="H38" s="202" t="s">
        <v>19</v>
      </c>
      <c r="K38" s="297">
        <v>10</v>
      </c>
      <c r="L38" s="310">
        <f>K38/LTM_EBITDA</f>
        <v>0.25205583036642615</v>
      </c>
      <c r="N38" s="210"/>
    </row>
    <row r="39" spans="2:15" ht="15.75" customHeight="1" outlineLevel="1" x14ac:dyDescent="0.25">
      <c r="C39" s="202" t="s">
        <v>183</v>
      </c>
      <c r="D39" s="198">
        <f>G126-Min_Cash</f>
        <v>68.241240542808228</v>
      </c>
      <c r="E39" s="310">
        <f>D39/LTM_EBITDA</f>
        <v>1.7200602550252553</v>
      </c>
      <c r="F39" s="306">
        <f t="shared" si="0"/>
        <v>9.8422856466075168E-2</v>
      </c>
      <c r="H39" s="32" t="s">
        <v>9</v>
      </c>
      <c r="I39" s="207"/>
      <c r="J39" s="207"/>
      <c r="K39" s="66">
        <f>SUM(K35:K38)</f>
        <v>693.34749054280826</v>
      </c>
      <c r="L39" s="311">
        <f>SUM(L35:L38)</f>
        <v>17.476227746124533</v>
      </c>
      <c r="N39" s="210"/>
    </row>
    <row r="40" spans="2:15" ht="15.75" customHeight="1" outlineLevel="1" x14ac:dyDescent="0.25">
      <c r="C40" s="208" t="s">
        <v>174</v>
      </c>
      <c r="D40" s="209">
        <f>K39-SUM(D35:D39)</f>
        <v>426.73750000000001</v>
      </c>
      <c r="E40" s="303">
        <f>D40/LTM_EBITDA</f>
        <v>10.756167491099278</v>
      </c>
      <c r="F40" s="307">
        <f t="shared" si="0"/>
        <v>0.61547421144614733</v>
      </c>
      <c r="N40" s="210"/>
    </row>
    <row r="41" spans="2:15" ht="15.75" customHeight="1" outlineLevel="1" x14ac:dyDescent="0.25">
      <c r="C41" s="32" t="s">
        <v>8</v>
      </c>
      <c r="D41" s="66">
        <f>SUM(D35:D40)</f>
        <v>693.34749054280826</v>
      </c>
      <c r="E41" s="312">
        <f>SUM(E35:E40)</f>
        <v>17.476227746124533</v>
      </c>
      <c r="F41" s="308">
        <f>SUM(F35:F40)</f>
        <v>1</v>
      </c>
      <c r="N41" s="210"/>
    </row>
    <row r="42" spans="2:15" ht="15.75" customHeight="1" x14ac:dyDescent="0.25">
      <c r="N42" s="210"/>
    </row>
    <row r="43" spans="2:15" ht="15.75" customHeight="1" x14ac:dyDescent="0.25">
      <c r="B43" s="4" t="s">
        <v>22</v>
      </c>
      <c r="C43" s="5"/>
      <c r="D43" s="6"/>
      <c r="E43" s="7"/>
      <c r="F43" s="7"/>
      <c r="G43" s="7"/>
      <c r="H43" s="7"/>
      <c r="I43" s="7"/>
      <c r="J43" s="7"/>
      <c r="K43" s="7"/>
      <c r="L43" s="6"/>
      <c r="M43" s="7"/>
      <c r="N43" s="7"/>
      <c r="O43" s="7"/>
    </row>
    <row r="44" spans="2:15" ht="15.75" customHeight="1" outlineLevel="1" x14ac:dyDescent="0.25"/>
    <row r="45" spans="2:15" ht="15.75" customHeight="1" outlineLevel="1" x14ac:dyDescent="0.25">
      <c r="C45" s="11"/>
      <c r="D45" s="30" t="s">
        <v>15</v>
      </c>
      <c r="E45" s="30" t="s">
        <v>15</v>
      </c>
      <c r="F45" s="30" t="s">
        <v>38</v>
      </c>
      <c r="G45" s="30" t="s">
        <v>10</v>
      </c>
      <c r="H45" s="30" t="s">
        <v>18</v>
      </c>
      <c r="I45" s="30" t="s">
        <v>136</v>
      </c>
    </row>
    <row r="46" spans="2:15" ht="15.75" customHeight="1" outlineLevel="1" x14ac:dyDescent="0.25">
      <c r="C46" s="9" t="s">
        <v>12</v>
      </c>
      <c r="D46" s="31" t="s">
        <v>37</v>
      </c>
      <c r="E46" s="31" t="s">
        <v>16</v>
      </c>
      <c r="F46" s="31" t="s">
        <v>14</v>
      </c>
      <c r="G46" s="31" t="s">
        <v>17</v>
      </c>
      <c r="H46" s="31" t="s">
        <v>170</v>
      </c>
      <c r="I46" s="31" t="s">
        <v>105</v>
      </c>
    </row>
    <row r="47" spans="2:15" ht="15.75" customHeight="1" outlineLevel="1" x14ac:dyDescent="0.25">
      <c r="C47" s="202" t="s">
        <v>13</v>
      </c>
      <c r="D47" s="295">
        <v>1.4999999999999999E-2</v>
      </c>
      <c r="E47" s="295">
        <v>2.5000000000000001E-2</v>
      </c>
      <c r="G47" s="10"/>
      <c r="H47" s="294">
        <v>0</v>
      </c>
      <c r="I47" s="294">
        <v>1</v>
      </c>
    </row>
    <row r="48" spans="2:15" ht="15.75" customHeight="1" outlineLevel="1" x14ac:dyDescent="0.25">
      <c r="C48" s="314" t="s">
        <v>187</v>
      </c>
      <c r="D48" s="295">
        <v>1.4999999999999999E-2</v>
      </c>
      <c r="E48" s="295">
        <v>2.75E-2</v>
      </c>
      <c r="G48" s="10"/>
      <c r="H48" s="294">
        <v>0</v>
      </c>
      <c r="I48" s="294">
        <v>1</v>
      </c>
    </row>
    <row r="49" spans="2:15" ht="15.75" customHeight="1" outlineLevel="1" x14ac:dyDescent="0.25">
      <c r="C49" s="202" t="str">
        <f>$C$27</f>
        <v>Term Loans:</v>
      </c>
      <c r="D49" s="295">
        <v>1.4999999999999999E-2</v>
      </c>
      <c r="E49" s="295">
        <v>0.03</v>
      </c>
      <c r="G49" s="10"/>
      <c r="H49" s="294">
        <v>0.1</v>
      </c>
      <c r="I49" s="294">
        <v>0.5</v>
      </c>
    </row>
    <row r="50" spans="2:15" ht="15.75" customHeight="1" outlineLevel="1" x14ac:dyDescent="0.25">
      <c r="C50" s="202" t="str">
        <f>$C$28</f>
        <v>Subordinated Notes:</v>
      </c>
      <c r="F50" s="295">
        <v>7.0000000000000007E-2</v>
      </c>
      <c r="G50" s="295">
        <v>0.03</v>
      </c>
      <c r="H50" s="294">
        <v>0</v>
      </c>
      <c r="I50" s="294" t="s">
        <v>11</v>
      </c>
      <c r="L50" s="212"/>
      <c r="M50" s="212"/>
      <c r="N50" s="212"/>
      <c r="O50" s="212"/>
    </row>
    <row r="52" spans="2:15" ht="15.75" customHeight="1" x14ac:dyDescent="0.25">
      <c r="B52" s="4" t="s">
        <v>111</v>
      </c>
      <c r="C52" s="5"/>
      <c r="D52" s="6"/>
      <c r="E52" s="7"/>
      <c r="F52" s="7"/>
      <c r="G52" s="7"/>
      <c r="H52" s="7"/>
      <c r="I52" s="7"/>
      <c r="J52" s="7"/>
      <c r="K52" s="7"/>
      <c r="L52" s="6"/>
      <c r="M52" s="7"/>
      <c r="N52" s="7"/>
      <c r="O52" s="7"/>
    </row>
    <row r="53" spans="2:15" ht="15.75" customHeight="1" outlineLevel="1" x14ac:dyDescent="0.25"/>
    <row r="54" spans="2:15" ht="15.75" customHeight="1" outlineLevel="1" x14ac:dyDescent="0.25">
      <c r="C54" s="135" t="s">
        <v>112</v>
      </c>
      <c r="D54" s="31"/>
      <c r="E54" s="31" t="str">
        <f>$D$25</f>
        <v>$ M</v>
      </c>
      <c r="F54" s="213"/>
      <c r="G54" s="214"/>
      <c r="H54" s="135" t="s">
        <v>113</v>
      </c>
      <c r="I54" s="31"/>
      <c r="J54" s="31"/>
      <c r="K54" s="31" t="s">
        <v>114</v>
      </c>
      <c r="L54" s="31" t="str">
        <f>$D$25</f>
        <v>$ M</v>
      </c>
    </row>
    <row r="55" spans="2:15" ht="15.75" customHeight="1" outlineLevel="1" x14ac:dyDescent="0.25">
      <c r="C55" s="215" t="s">
        <v>115</v>
      </c>
      <c r="D55" s="199"/>
      <c r="E55" s="216">
        <f>D21</f>
        <v>633.34749054280826</v>
      </c>
      <c r="F55" s="213"/>
      <c r="G55" s="214"/>
      <c r="H55" s="136" t="s">
        <v>116</v>
      </c>
      <c r="I55" s="217"/>
      <c r="J55" s="217"/>
      <c r="K55" s="218">
        <v>0.1</v>
      </c>
      <c r="L55" s="216">
        <f>K55*G132</f>
        <v>2.25</v>
      </c>
    </row>
    <row r="56" spans="2:15" ht="15.75" customHeight="1" outlineLevel="1" x14ac:dyDescent="0.25">
      <c r="C56" s="136" t="s">
        <v>126</v>
      </c>
      <c r="D56" s="199"/>
      <c r="E56" s="219">
        <f>-G152</f>
        <v>-90.814212499999996</v>
      </c>
      <c r="F56" s="213"/>
      <c r="G56" s="214"/>
      <c r="H56" s="136" t="s">
        <v>117</v>
      </c>
      <c r="I56" s="217"/>
      <c r="J56" s="217"/>
      <c r="K56" s="220">
        <v>5</v>
      </c>
      <c r="L56" s="199"/>
    </row>
    <row r="57" spans="2:15" ht="15.75" customHeight="1" outlineLevel="1" x14ac:dyDescent="0.25">
      <c r="C57" s="221" t="s">
        <v>127</v>
      </c>
      <c r="D57" s="222"/>
      <c r="E57" s="223">
        <f>G133</f>
        <v>0</v>
      </c>
      <c r="F57" s="213"/>
      <c r="G57" s="214"/>
      <c r="H57" s="136" t="s">
        <v>118</v>
      </c>
      <c r="I57" s="217"/>
      <c r="J57" s="217"/>
      <c r="K57" s="217"/>
      <c r="L57" s="219">
        <f>L55/K56</f>
        <v>0.45</v>
      </c>
    </row>
    <row r="58" spans="2:15" ht="15.75" customHeight="1" outlineLevel="1" x14ac:dyDescent="0.25">
      <c r="C58" s="76" t="s">
        <v>119</v>
      </c>
      <c r="D58" s="199"/>
      <c r="E58" s="224">
        <f>SUM(E55:E57)</f>
        <v>542.53327804280821</v>
      </c>
      <c r="F58" s="213"/>
      <c r="G58" s="214"/>
      <c r="H58" s="45"/>
      <c r="I58" s="217"/>
      <c r="J58" s="217"/>
      <c r="K58" s="217"/>
      <c r="L58" s="225"/>
    </row>
    <row r="59" spans="2:15" ht="15.75" customHeight="1" outlineLevel="1" x14ac:dyDescent="0.25">
      <c r="C59" s="45"/>
      <c r="D59" s="199"/>
      <c r="E59" s="199"/>
      <c r="F59" s="213"/>
      <c r="G59" s="214"/>
      <c r="H59" s="135" t="s">
        <v>120</v>
      </c>
      <c r="I59" s="31"/>
      <c r="J59" s="31"/>
      <c r="K59" s="31" t="s">
        <v>114</v>
      </c>
      <c r="L59" s="31" t="str">
        <f>$D$25</f>
        <v>$ M</v>
      </c>
    </row>
    <row r="60" spans="2:15" ht="15.75" customHeight="1" outlineLevel="1" x14ac:dyDescent="0.25">
      <c r="C60" s="136" t="s">
        <v>128</v>
      </c>
      <c r="D60" s="199"/>
      <c r="E60" s="219">
        <f>-L55</f>
        <v>-2.25</v>
      </c>
      <c r="F60" s="213"/>
      <c r="G60" s="214"/>
      <c r="H60" s="226" t="s">
        <v>121</v>
      </c>
      <c r="I60" s="199"/>
      <c r="J60" s="217"/>
      <c r="K60" s="199"/>
      <c r="L60" s="216">
        <f>E58</f>
        <v>542.53327804280821</v>
      </c>
    </row>
    <row r="61" spans="2:15" ht="15.75" customHeight="1" outlineLevel="1" x14ac:dyDescent="0.25">
      <c r="C61" s="136" t="s">
        <v>129</v>
      </c>
      <c r="D61" s="199"/>
      <c r="E61" s="219">
        <f>-L62</f>
        <v>-108.50665560856164</v>
      </c>
      <c r="F61" s="213"/>
      <c r="G61" s="214"/>
      <c r="H61" s="227"/>
      <c r="I61" s="199"/>
      <c r="J61" s="217"/>
      <c r="K61" s="199"/>
      <c r="L61" s="199"/>
    </row>
    <row r="62" spans="2:15" ht="15.75" customHeight="1" outlineLevel="1" x14ac:dyDescent="0.25">
      <c r="C62" s="136" t="s">
        <v>130</v>
      </c>
      <c r="D62" s="199"/>
      <c r="E62" s="219">
        <f>-G148</f>
        <v>-1.0637898750000001</v>
      </c>
      <c r="F62" s="213"/>
      <c r="G62" s="214"/>
      <c r="H62" s="136" t="s">
        <v>65</v>
      </c>
      <c r="I62" s="199"/>
      <c r="J62" s="217"/>
      <c r="K62" s="218">
        <v>0.2</v>
      </c>
      <c r="L62" s="219">
        <f>K62*L60</f>
        <v>108.50665560856164</v>
      </c>
    </row>
    <row r="63" spans="2:15" ht="15.75" customHeight="1" outlineLevel="1" x14ac:dyDescent="0.25">
      <c r="C63" s="221" t="s">
        <v>131</v>
      </c>
      <c r="D63" s="222"/>
      <c r="E63" s="228">
        <f>L66</f>
        <v>27.689163902140411</v>
      </c>
      <c r="F63" s="213"/>
      <c r="G63" s="214"/>
      <c r="H63" s="136" t="s">
        <v>123</v>
      </c>
      <c r="I63" s="199"/>
      <c r="J63" s="217"/>
      <c r="K63" s="220">
        <v>15</v>
      </c>
      <c r="L63" s="199"/>
    </row>
    <row r="64" spans="2:15" ht="15.75" customHeight="1" outlineLevel="1" x14ac:dyDescent="0.25">
      <c r="C64" s="74" t="s">
        <v>122</v>
      </c>
      <c r="E64" s="65">
        <f>E58+SUM(E60:E63)</f>
        <v>458.40199646138694</v>
      </c>
      <c r="F64" s="213"/>
      <c r="G64" s="214"/>
      <c r="H64" s="136" t="s">
        <v>124</v>
      </c>
      <c r="I64" s="217"/>
      <c r="J64" s="217"/>
      <c r="K64" s="217"/>
      <c r="L64" s="219">
        <f>L62/K63</f>
        <v>7.233777040570776</v>
      </c>
    </row>
    <row r="65" spans="2:15" ht="15.75" customHeight="1" outlineLevel="1" x14ac:dyDescent="0.25">
      <c r="F65" s="213"/>
      <c r="G65" s="214"/>
      <c r="H65" s="227"/>
      <c r="I65" s="200"/>
      <c r="J65" s="200"/>
      <c r="K65" s="217"/>
      <c r="L65" s="200"/>
    </row>
    <row r="66" spans="2:15" ht="15.75" customHeight="1" outlineLevel="1" x14ac:dyDescent="0.25">
      <c r="C66" s="229"/>
      <c r="F66" s="213"/>
      <c r="G66" s="214"/>
      <c r="H66" s="136" t="s">
        <v>125</v>
      </c>
      <c r="I66" s="217"/>
      <c r="J66" s="217"/>
      <c r="K66" s="217"/>
      <c r="L66" s="219">
        <f>(L55+L62)*Tax_Rate</f>
        <v>27.689163902140411</v>
      </c>
    </row>
    <row r="68" spans="2:15" ht="15.75" customHeight="1" x14ac:dyDescent="0.25">
      <c r="B68" s="12"/>
      <c r="C68" s="13"/>
      <c r="D68" s="14"/>
      <c r="E68" s="15" t="s">
        <v>1</v>
      </c>
      <c r="F68" s="15"/>
      <c r="G68" s="16"/>
      <c r="H68" s="17" t="s">
        <v>106</v>
      </c>
      <c r="I68" s="16"/>
      <c r="J68" s="16"/>
      <c r="K68" s="17" t="s">
        <v>2</v>
      </c>
      <c r="L68" s="18"/>
      <c r="M68" s="16"/>
      <c r="N68" s="16"/>
      <c r="O68" s="16"/>
    </row>
    <row r="69" spans="2:15" ht="15.75" customHeight="1" x14ac:dyDescent="0.25">
      <c r="B69" s="33" t="s">
        <v>179</v>
      </c>
      <c r="C69" s="19"/>
      <c r="D69" s="38" t="s">
        <v>36</v>
      </c>
      <c r="E69" s="1">
        <f>EOMONTH(F69,-12)</f>
        <v>43100</v>
      </c>
      <c r="F69" s="1">
        <f>EOMONTH(G69,-12)</f>
        <v>43465</v>
      </c>
      <c r="G69" s="2">
        <f>Hist_Year</f>
        <v>43830</v>
      </c>
      <c r="H69" s="1" t="s">
        <v>107</v>
      </c>
      <c r="I69" s="1" t="s">
        <v>108</v>
      </c>
      <c r="J69" s="1">
        <f>G69</f>
        <v>43830</v>
      </c>
      <c r="K69" s="64">
        <f>EOMONTH(G69,12)</f>
        <v>44196</v>
      </c>
      <c r="L69" s="1">
        <f t="shared" ref="L69" si="1">EOMONTH(K69,12)</f>
        <v>44561</v>
      </c>
      <c r="M69" s="1">
        <f t="shared" ref="M69" si="2">EOMONTH(L69,12)</f>
        <v>44926</v>
      </c>
      <c r="N69" s="1">
        <f t="shared" ref="N69" si="3">EOMONTH(M69,12)</f>
        <v>45291</v>
      </c>
      <c r="O69" s="1">
        <f t="shared" ref="O69" si="4">EOMONTH(N69,12)</f>
        <v>45657</v>
      </c>
    </row>
    <row r="70" spans="2:15" ht="15.75" customHeight="1" outlineLevel="1" x14ac:dyDescent="0.25">
      <c r="B70" s="69" t="s">
        <v>54</v>
      </c>
      <c r="C70" s="230"/>
      <c r="D70" s="230"/>
      <c r="E70" s="230"/>
      <c r="F70" s="230"/>
      <c r="G70" s="230"/>
      <c r="H70" s="231"/>
      <c r="I70" s="230"/>
      <c r="J70" s="232"/>
      <c r="K70" s="230"/>
      <c r="L70" s="230"/>
      <c r="M70" s="230"/>
      <c r="N70" s="230"/>
      <c r="O70" s="230"/>
    </row>
    <row r="71" spans="2:15" ht="15.75" customHeight="1" outlineLevel="1" x14ac:dyDescent="0.25">
      <c r="C71" s="196" t="s">
        <v>176</v>
      </c>
      <c r="D71" s="52" t="s">
        <v>152</v>
      </c>
      <c r="F71" s="67">
        <v>150</v>
      </c>
      <c r="G71" s="67">
        <v>251.25</v>
      </c>
      <c r="H71" s="87"/>
      <c r="I71" s="88"/>
      <c r="J71" s="89"/>
      <c r="K71" s="206">
        <f>G71*(1+K72)</f>
        <v>330.328125</v>
      </c>
      <c r="L71" s="206">
        <f>K71*(1+L72)</f>
        <v>409.47750000000008</v>
      </c>
      <c r="M71" s="206">
        <f>L71*(1+M72)</f>
        <v>486.45008999999999</v>
      </c>
      <c r="N71" s="206">
        <f>M71*(1+N72)</f>
        <v>547.66832697000007</v>
      </c>
      <c r="O71" s="206">
        <f>N71*(1+O72)</f>
        <v>615.47035195701005</v>
      </c>
    </row>
    <row r="72" spans="2:15" ht="15.75" customHeight="1" outlineLevel="1" x14ac:dyDescent="0.25">
      <c r="C72" s="20" t="s">
        <v>53</v>
      </c>
      <c r="D72" s="52" t="s">
        <v>35</v>
      </c>
      <c r="E72" s="68"/>
      <c r="F72" s="68"/>
      <c r="G72" s="68">
        <f>G71/F71-1</f>
        <v>0.67500000000000004</v>
      </c>
      <c r="H72" s="117"/>
      <c r="I72" s="118"/>
      <c r="J72" s="119"/>
      <c r="K72" s="291">
        <v>0.31473880597014925</v>
      </c>
      <c r="L72" s="291">
        <v>0.23960834397616027</v>
      </c>
      <c r="M72" s="291">
        <v>0.18797758118577912</v>
      </c>
      <c r="N72" s="291">
        <v>0.12584690234099871</v>
      </c>
      <c r="O72" s="291">
        <v>0.12380125278036025</v>
      </c>
    </row>
    <row r="73" spans="2:15" ht="15.75" customHeight="1" outlineLevel="1" x14ac:dyDescent="0.25">
      <c r="H73" s="233"/>
      <c r="I73" s="212"/>
      <c r="J73" s="234"/>
    </row>
    <row r="74" spans="2:15" ht="15.75" customHeight="1" outlineLevel="1" x14ac:dyDescent="0.25">
      <c r="C74" s="196" t="s">
        <v>175</v>
      </c>
      <c r="D74" s="52" t="s">
        <v>152</v>
      </c>
      <c r="E74" s="198"/>
      <c r="F74" s="21">
        <v>-112.5</v>
      </c>
      <c r="G74" s="21">
        <v>-175.3125</v>
      </c>
      <c r="H74" s="87"/>
      <c r="I74" s="88"/>
      <c r="J74" s="89"/>
      <c r="K74" s="198">
        <f>-K75*K71</f>
        <v>-223.20703125</v>
      </c>
      <c r="L74" s="198">
        <f t="shared" ref="L74:O74" si="5">-L75*L71</f>
        <v>-271.11937499999999</v>
      </c>
      <c r="M74" s="198">
        <f t="shared" si="5"/>
        <v>-315.67502250000001</v>
      </c>
      <c r="N74" s="198">
        <f t="shared" si="5"/>
        <v>-350.38583174250005</v>
      </c>
      <c r="O74" s="198">
        <f t="shared" si="5"/>
        <v>-388.68321298925258</v>
      </c>
    </row>
    <row r="75" spans="2:15" ht="15.75" customHeight="1" outlineLevel="1" x14ac:dyDescent="0.25">
      <c r="C75" s="20" t="s">
        <v>177</v>
      </c>
      <c r="D75" s="52" t="s">
        <v>35</v>
      </c>
      <c r="E75" s="68"/>
      <c r="F75" s="68">
        <f>-F74/F71</f>
        <v>0.75</v>
      </c>
      <c r="G75" s="68">
        <f>-G74/G71</f>
        <v>0.69776119402985071</v>
      </c>
      <c r="H75" s="117"/>
      <c r="I75" s="118"/>
      <c r="J75" s="119"/>
      <c r="K75" s="291">
        <v>0.67571306939123033</v>
      </c>
      <c r="L75" s="291">
        <v>0.66211055552502873</v>
      </c>
      <c r="M75" s="291">
        <v>0.64893609640405248</v>
      </c>
      <c r="N75" s="291">
        <v>0.63977742456100317</v>
      </c>
      <c r="O75" s="291">
        <v>0.63152223621065939</v>
      </c>
    </row>
    <row r="76" spans="2:15" ht="15.75" customHeight="1" outlineLevel="1" x14ac:dyDescent="0.25">
      <c r="H76" s="233"/>
      <c r="I76" s="212"/>
      <c r="J76" s="234"/>
    </row>
    <row r="77" spans="2:15" ht="15.75" customHeight="1" outlineLevel="1" x14ac:dyDescent="0.25">
      <c r="C77" s="196" t="s">
        <v>178</v>
      </c>
      <c r="D77" s="52" t="s">
        <v>152</v>
      </c>
      <c r="E77" s="198"/>
      <c r="F77" s="21">
        <v>-20.5</v>
      </c>
      <c r="G77" s="21">
        <v>-36.263749999999995</v>
      </c>
      <c r="H77" s="87"/>
      <c r="I77" s="88"/>
      <c r="J77" s="89"/>
      <c r="K77" s="198">
        <f>-K78*K71</f>
        <v>-49.651734374999997</v>
      </c>
      <c r="L77" s="198">
        <f t="shared" ref="L77:O77" si="6">-L78*L71</f>
        <v>-64.989928928571445</v>
      </c>
      <c r="M77" s="198">
        <f t="shared" si="6"/>
        <v>-80.552531569999999</v>
      </c>
      <c r="N77" s="198">
        <f t="shared" si="6"/>
        <v>-95.841957219750014</v>
      </c>
      <c r="O77" s="198">
        <f t="shared" si="6"/>
        <v>-110.07450525384988</v>
      </c>
    </row>
    <row r="78" spans="2:15" ht="15.75" customHeight="1" outlineLevel="1" x14ac:dyDescent="0.25">
      <c r="C78" s="20" t="s">
        <v>177</v>
      </c>
      <c r="D78" s="52" t="s">
        <v>35</v>
      </c>
      <c r="E78" s="68"/>
      <c r="F78" s="68">
        <f>-F77/F71</f>
        <v>0.13666666666666666</v>
      </c>
      <c r="G78" s="68">
        <f>-G77/G71</f>
        <v>0.14433333333333331</v>
      </c>
      <c r="H78" s="117"/>
      <c r="I78" s="118"/>
      <c r="J78" s="119"/>
      <c r="K78" s="291">
        <v>0.15031034482758621</v>
      </c>
      <c r="L78" s="291">
        <v>0.15871428571428572</v>
      </c>
      <c r="M78" s="291">
        <v>0.1655925925925926</v>
      </c>
      <c r="N78" s="291">
        <v>0.17500000000000002</v>
      </c>
      <c r="O78" s="291">
        <v>0.17884615384615385</v>
      </c>
    </row>
    <row r="79" spans="2:15" ht="15.75" customHeight="1" outlineLevel="1" x14ac:dyDescent="0.25">
      <c r="H79" s="233"/>
      <c r="I79" s="212"/>
      <c r="J79" s="234"/>
    </row>
    <row r="80" spans="2:15" ht="15.75" customHeight="1" outlineLevel="1" x14ac:dyDescent="0.25">
      <c r="B80" s="9" t="s">
        <v>58</v>
      </c>
      <c r="C80" s="205"/>
      <c r="D80" s="205"/>
      <c r="E80" s="205"/>
      <c r="F80" s="205"/>
      <c r="G80" s="205"/>
      <c r="H80" s="242"/>
      <c r="I80" s="205"/>
      <c r="J80" s="243"/>
      <c r="K80" s="205"/>
      <c r="L80" s="205"/>
      <c r="M80" s="205"/>
      <c r="N80" s="205"/>
      <c r="O80" s="205"/>
    </row>
    <row r="81" spans="2:15" ht="15.75" customHeight="1" outlineLevel="1" x14ac:dyDescent="0.25">
      <c r="C81" s="244" t="s">
        <v>93</v>
      </c>
      <c r="D81" s="52" t="s">
        <v>159</v>
      </c>
      <c r="F81" s="192">
        <f>F127/F103*(F69-E69)</f>
        <v>30</v>
      </c>
      <c r="G81" s="193">
        <f>G127/G103*(G69-F69)</f>
        <v>32</v>
      </c>
      <c r="H81" s="93"/>
      <c r="I81" s="93"/>
      <c r="J81" s="112"/>
      <c r="K81" s="298">
        <v>33</v>
      </c>
      <c r="L81" s="299">
        <v>35</v>
      </c>
      <c r="M81" s="299">
        <v>37</v>
      </c>
      <c r="N81" s="299">
        <v>39</v>
      </c>
      <c r="O81" s="299">
        <v>40</v>
      </c>
    </row>
    <row r="82" spans="2:15" ht="15.75" customHeight="1" outlineLevel="1" x14ac:dyDescent="0.25">
      <c r="C82" s="244" t="s">
        <v>94</v>
      </c>
      <c r="D82" s="52" t="s">
        <v>159</v>
      </c>
      <c r="F82" s="194">
        <f>-F128/F104*(F69-E69)</f>
        <v>13.333333333333336</v>
      </c>
      <c r="G82" s="195">
        <f>-G128/G104*(G69-F69)</f>
        <v>12.834224598930481</v>
      </c>
      <c r="H82" s="113"/>
      <c r="I82" s="94"/>
      <c r="J82" s="114"/>
      <c r="K82" s="298">
        <v>12.5</v>
      </c>
      <c r="L82" s="299">
        <v>12.3</v>
      </c>
      <c r="M82" s="299">
        <v>12</v>
      </c>
      <c r="N82" s="299">
        <v>11.8</v>
      </c>
      <c r="O82" s="299">
        <v>11.5</v>
      </c>
    </row>
    <row r="83" spans="2:15" ht="15.75" customHeight="1" outlineLevel="1" x14ac:dyDescent="0.25">
      <c r="C83" s="244" t="s">
        <v>95</v>
      </c>
      <c r="D83" s="52" t="s">
        <v>159</v>
      </c>
      <c r="F83" s="194">
        <f>-F142/F104*(F69-E69)</f>
        <v>13.333333333333336</v>
      </c>
      <c r="G83" s="195">
        <f>-G142/G104*(G69-F69)</f>
        <v>13.475935828877006</v>
      </c>
      <c r="H83" s="113"/>
      <c r="I83" s="94"/>
      <c r="J83" s="114"/>
      <c r="K83" s="298">
        <v>13.7</v>
      </c>
      <c r="L83" s="299">
        <v>13.9</v>
      </c>
      <c r="M83" s="299">
        <v>14.1</v>
      </c>
      <c r="N83" s="299">
        <v>14.3</v>
      </c>
      <c r="O83" s="299">
        <v>14.5</v>
      </c>
    </row>
    <row r="84" spans="2:15" ht="15.75" customHeight="1" outlineLevel="1" x14ac:dyDescent="0.25">
      <c r="C84" s="202"/>
      <c r="H84" s="246"/>
      <c r="I84" s="201"/>
      <c r="J84" s="247"/>
    </row>
    <row r="85" spans="2:15" ht="15.75" customHeight="1" outlineLevel="1" x14ac:dyDescent="0.25">
      <c r="C85" s="248" t="s">
        <v>96</v>
      </c>
      <c r="D85" s="52" t="s">
        <v>35</v>
      </c>
      <c r="F85" s="245">
        <f>F135/F103</f>
        <v>0.05</v>
      </c>
      <c r="G85" s="245">
        <f>G135/G103</f>
        <v>0.05</v>
      </c>
      <c r="H85" s="115"/>
      <c r="I85" s="95"/>
      <c r="J85" s="116"/>
      <c r="K85" s="300">
        <v>0.05</v>
      </c>
      <c r="L85" s="291">
        <v>0.05</v>
      </c>
      <c r="M85" s="291">
        <v>0.05</v>
      </c>
      <c r="N85" s="291">
        <v>0.05</v>
      </c>
      <c r="O85" s="291">
        <v>0.05</v>
      </c>
    </row>
    <row r="86" spans="2:15" ht="15.75" customHeight="1" outlineLevel="1" x14ac:dyDescent="0.25">
      <c r="C86" s="248"/>
      <c r="H86" s="246"/>
      <c r="I86" s="201"/>
      <c r="J86" s="247"/>
    </row>
    <row r="87" spans="2:15" ht="15.75" customHeight="1" outlineLevel="1" x14ac:dyDescent="0.25">
      <c r="C87" s="244" t="s">
        <v>98</v>
      </c>
      <c r="D87" s="52" t="s">
        <v>35</v>
      </c>
      <c r="F87" s="245">
        <f>-F143/F119</f>
        <v>0.1</v>
      </c>
      <c r="G87" s="245">
        <f>-G143/G119</f>
        <v>0.1</v>
      </c>
      <c r="H87" s="115"/>
      <c r="I87" s="95"/>
      <c r="J87" s="116"/>
      <c r="K87" s="300">
        <v>0.11</v>
      </c>
      <c r="L87" s="291">
        <v>0.11</v>
      </c>
      <c r="M87" s="291">
        <v>0.12</v>
      </c>
      <c r="N87" s="291">
        <v>0.12</v>
      </c>
      <c r="O87" s="291">
        <v>0.12</v>
      </c>
    </row>
    <row r="88" spans="2:15" ht="15.75" customHeight="1" outlineLevel="1" x14ac:dyDescent="0.25">
      <c r="C88" s="244" t="s">
        <v>97</v>
      </c>
      <c r="D88" s="52" t="s">
        <v>35</v>
      </c>
      <c r="F88" s="245">
        <f>-F149/F107</f>
        <v>7.0000000000000007E-2</v>
      </c>
      <c r="G88" s="245">
        <f>-G149/G107</f>
        <v>7.0000000000000007E-2</v>
      </c>
      <c r="H88" s="115"/>
      <c r="I88" s="95"/>
      <c r="J88" s="116"/>
      <c r="K88" s="300">
        <v>0.08</v>
      </c>
      <c r="L88" s="291">
        <v>0.08</v>
      </c>
      <c r="M88" s="291">
        <v>0.09</v>
      </c>
      <c r="N88" s="291">
        <v>0.09</v>
      </c>
      <c r="O88" s="291">
        <v>0.09</v>
      </c>
    </row>
    <row r="89" spans="2:15" ht="15.75" customHeight="1" outlineLevel="1" x14ac:dyDescent="0.25">
      <c r="H89" s="233"/>
      <c r="I89" s="212"/>
      <c r="J89" s="234"/>
    </row>
    <row r="90" spans="2:15" ht="15.75" customHeight="1" outlineLevel="1" x14ac:dyDescent="0.25">
      <c r="B90" s="9" t="s">
        <v>180</v>
      </c>
      <c r="C90" s="205"/>
      <c r="D90" s="205"/>
      <c r="E90" s="205"/>
      <c r="F90" s="205"/>
      <c r="G90" s="205"/>
      <c r="H90" s="242"/>
      <c r="I90" s="205"/>
      <c r="J90" s="243"/>
      <c r="K90" s="205"/>
      <c r="L90" s="205"/>
      <c r="M90" s="205"/>
      <c r="N90" s="205"/>
      <c r="O90" s="205"/>
    </row>
    <row r="91" spans="2:15" ht="15.75" customHeight="1" outlineLevel="1" x14ac:dyDescent="0.25">
      <c r="C91" s="196" t="s">
        <v>158</v>
      </c>
      <c r="D91" s="52" t="s">
        <v>152</v>
      </c>
      <c r="F91" s="188">
        <f>-F179</f>
        <v>2</v>
      </c>
      <c r="G91" s="189">
        <f t="shared" ref="G91" si="7">-G179</f>
        <v>3</v>
      </c>
      <c r="H91" s="235"/>
      <c r="I91" s="236"/>
      <c r="J91" s="237"/>
      <c r="K91" s="198">
        <f>K92*K$103</f>
        <v>6.6065624999999999</v>
      </c>
      <c r="L91" s="198">
        <f>L92*L$103</f>
        <v>7.7800725000000011</v>
      </c>
      <c r="M91" s="198">
        <f>M92*M$103</f>
        <v>9.242551709999999</v>
      </c>
      <c r="N91" s="198">
        <f>N92*N$103</f>
        <v>9.8580298854600006</v>
      </c>
      <c r="O91" s="198">
        <f>O92*O$103</f>
        <v>11.07846633522618</v>
      </c>
    </row>
    <row r="92" spans="2:15" ht="15.75" customHeight="1" outlineLevel="1" x14ac:dyDescent="0.25">
      <c r="C92" s="202" t="s">
        <v>153</v>
      </c>
      <c r="D92" s="52" t="s">
        <v>35</v>
      </c>
      <c r="F92" s="245">
        <f>F91/F103</f>
        <v>1.3333333333333334E-2</v>
      </c>
      <c r="G92" s="245">
        <f>G91/G103</f>
        <v>1.1940298507462687E-2</v>
      </c>
      <c r="H92" s="235"/>
      <c r="I92" s="236"/>
      <c r="J92" s="237"/>
      <c r="K92" s="300">
        <v>0.02</v>
      </c>
      <c r="L92" s="291">
        <v>1.9E-2</v>
      </c>
      <c r="M92" s="291">
        <v>1.9E-2</v>
      </c>
      <c r="N92" s="291">
        <v>1.7999999999999999E-2</v>
      </c>
      <c r="O92" s="291">
        <v>1.7999999999999999E-2</v>
      </c>
    </row>
    <row r="93" spans="2:15" ht="15.75" customHeight="1" outlineLevel="1" x14ac:dyDescent="0.25">
      <c r="G93" s="198"/>
      <c r="H93" s="235"/>
      <c r="I93" s="236"/>
      <c r="J93" s="237"/>
      <c r="K93" s="198"/>
      <c r="L93" s="198"/>
      <c r="M93" s="198"/>
      <c r="N93" s="198"/>
      <c r="O93" s="198"/>
    </row>
    <row r="94" spans="2:15" ht="15.75" customHeight="1" outlineLevel="1" x14ac:dyDescent="0.25">
      <c r="C94" s="196" t="s">
        <v>154</v>
      </c>
      <c r="D94" s="52" t="s">
        <v>152</v>
      </c>
      <c r="F94" s="190">
        <f>-F110</f>
        <v>1</v>
      </c>
      <c r="G94" s="191">
        <f t="shared" ref="G94" si="8">-G110</f>
        <v>1.5</v>
      </c>
      <c r="H94" s="235"/>
      <c r="I94" s="236"/>
      <c r="J94" s="237"/>
      <c r="K94" s="198">
        <f>K95*K$103</f>
        <v>3.6336093749999998</v>
      </c>
      <c r="L94" s="198">
        <f>L95*L$103</f>
        <v>4.5042525000000007</v>
      </c>
      <c r="M94" s="198">
        <f>M95*M$103</f>
        <v>4.8645009000000003</v>
      </c>
      <c r="N94" s="198">
        <f>N95*N$103</f>
        <v>5.4766832697000005</v>
      </c>
      <c r="O94" s="198">
        <f>O95*O$103</f>
        <v>6.1547035195701003</v>
      </c>
    </row>
    <row r="95" spans="2:15" ht="15.75" customHeight="1" outlineLevel="1" x14ac:dyDescent="0.25">
      <c r="C95" s="202" t="s">
        <v>155</v>
      </c>
      <c r="D95" s="52" t="s">
        <v>35</v>
      </c>
      <c r="F95" s="245">
        <f>F94/F103</f>
        <v>6.6666666666666671E-3</v>
      </c>
      <c r="G95" s="245">
        <f>G94/G103</f>
        <v>5.9701492537313433E-3</v>
      </c>
      <c r="H95" s="235"/>
      <c r="I95" s="236"/>
      <c r="J95" s="237"/>
      <c r="K95" s="300">
        <v>1.0999999999999999E-2</v>
      </c>
      <c r="L95" s="291">
        <v>1.0999999999999999E-2</v>
      </c>
      <c r="M95" s="291">
        <v>0.01</v>
      </c>
      <c r="N95" s="291">
        <v>0.01</v>
      </c>
      <c r="O95" s="291">
        <v>0.01</v>
      </c>
    </row>
    <row r="96" spans="2:15" ht="15.75" customHeight="1" outlineLevel="1" x14ac:dyDescent="0.25">
      <c r="G96" s="198"/>
      <c r="H96" s="235"/>
      <c r="I96" s="236"/>
      <c r="J96" s="237"/>
      <c r="K96" s="198"/>
      <c r="L96" s="198"/>
      <c r="M96" s="198"/>
      <c r="N96" s="198"/>
      <c r="O96" s="198"/>
    </row>
    <row r="97" spans="2:15" ht="15.75" customHeight="1" outlineLevel="1" x14ac:dyDescent="0.25">
      <c r="C97" s="196" t="s">
        <v>99</v>
      </c>
      <c r="D97" s="52" t="s">
        <v>152</v>
      </c>
      <c r="F97" s="190">
        <f>-F111</f>
        <v>0</v>
      </c>
      <c r="G97" s="191">
        <f t="shared" ref="G97" si="9">-G111</f>
        <v>0</v>
      </c>
      <c r="H97" s="235"/>
      <c r="I97" s="236"/>
      <c r="J97" s="237"/>
      <c r="K97" s="198">
        <f>G97</f>
        <v>0</v>
      </c>
      <c r="L97" s="198">
        <f>K97</f>
        <v>0</v>
      </c>
      <c r="M97" s="198">
        <f>L97</f>
        <v>0</v>
      </c>
      <c r="N97" s="198">
        <f>M97</f>
        <v>0</v>
      </c>
      <c r="O97" s="198">
        <f>N97</f>
        <v>0</v>
      </c>
    </row>
    <row r="98" spans="2:15" ht="15.75" customHeight="1" outlineLevel="1" x14ac:dyDescent="0.25">
      <c r="C98" s="196" t="s">
        <v>100</v>
      </c>
      <c r="D98" s="52" t="s">
        <v>35</v>
      </c>
      <c r="F98" s="245">
        <f>-F168/F119</f>
        <v>0.12</v>
      </c>
      <c r="G98" s="245">
        <f>-G168/G119</f>
        <v>0.13</v>
      </c>
      <c r="H98" s="115"/>
      <c r="I98" s="95"/>
      <c r="J98" s="116"/>
      <c r="K98" s="300">
        <v>0.14000000000000001</v>
      </c>
      <c r="L98" s="291">
        <v>0.15</v>
      </c>
      <c r="M98" s="291">
        <v>0.15</v>
      </c>
      <c r="N98" s="291">
        <v>0.16</v>
      </c>
      <c r="O98" s="291">
        <v>0.16</v>
      </c>
    </row>
    <row r="100" spans="2:15" ht="15.75" customHeight="1" x14ac:dyDescent="0.25">
      <c r="B100" s="12"/>
      <c r="C100" s="13"/>
      <c r="D100" s="14"/>
      <c r="E100" s="15" t="str">
        <f>$E$68</f>
        <v>Historical</v>
      </c>
      <c r="F100" s="16"/>
      <c r="G100" s="16"/>
      <c r="H100" s="17" t="str">
        <f>$H$68</f>
        <v>Transaction Adjustments:</v>
      </c>
      <c r="I100" s="16"/>
      <c r="J100" s="16"/>
      <c r="K100" s="17" t="str">
        <f>$K$68</f>
        <v>Projected</v>
      </c>
      <c r="L100" s="18"/>
      <c r="M100" s="16"/>
      <c r="N100" s="16"/>
      <c r="O100" s="16"/>
    </row>
    <row r="101" spans="2:15" ht="15.75" customHeight="1" x14ac:dyDescent="0.25">
      <c r="B101" s="33" t="s">
        <v>54</v>
      </c>
      <c r="C101" s="19"/>
      <c r="D101" s="38" t="str">
        <f>$D$69</f>
        <v>Units:</v>
      </c>
      <c r="E101" s="1">
        <f>$E$69</f>
        <v>43100</v>
      </c>
      <c r="F101" s="1">
        <f>$F$69</f>
        <v>43465</v>
      </c>
      <c r="G101" s="2">
        <f>$G$69</f>
        <v>43830</v>
      </c>
      <c r="H101" s="1" t="str">
        <f>$H$69</f>
        <v>Debit</v>
      </c>
      <c r="I101" s="1" t="str">
        <f>$I$69</f>
        <v>Credit</v>
      </c>
      <c r="J101" s="1">
        <f>$J$69</f>
        <v>43830</v>
      </c>
      <c r="K101" s="64">
        <f>$K$69</f>
        <v>44196</v>
      </c>
      <c r="L101" s="1">
        <f>$L$69</f>
        <v>44561</v>
      </c>
      <c r="M101" s="1">
        <f>$M$69</f>
        <v>44926</v>
      </c>
      <c r="N101" s="1">
        <f>$N$69</f>
        <v>45291</v>
      </c>
      <c r="O101" s="1">
        <f>$O$69</f>
        <v>45657</v>
      </c>
    </row>
    <row r="102" spans="2:15" ht="15.75" customHeight="1" outlineLevel="1" x14ac:dyDescent="0.25">
      <c r="G102" s="212"/>
      <c r="H102" s="249"/>
      <c r="I102" s="207"/>
      <c r="J102" s="250"/>
    </row>
    <row r="103" spans="2:15" ht="15.75" customHeight="1" outlineLevel="1" x14ac:dyDescent="0.25">
      <c r="C103" s="3" t="s">
        <v>3</v>
      </c>
      <c r="D103" s="52" t="s">
        <v>152</v>
      </c>
      <c r="E103" s="206"/>
      <c r="F103" s="65">
        <f>F71</f>
        <v>150</v>
      </c>
      <c r="G103" s="65">
        <f>G71</f>
        <v>251.25</v>
      </c>
      <c r="H103" s="87"/>
      <c r="I103" s="88"/>
      <c r="J103" s="89"/>
      <c r="K103" s="65">
        <f>K71</f>
        <v>330.328125</v>
      </c>
      <c r="L103" s="65">
        <f>L71</f>
        <v>409.47750000000008</v>
      </c>
      <c r="M103" s="65">
        <f>M71</f>
        <v>486.45008999999999</v>
      </c>
      <c r="N103" s="65">
        <f>N71</f>
        <v>547.66832697000007</v>
      </c>
      <c r="O103" s="65">
        <f>O71</f>
        <v>615.47035195701005</v>
      </c>
    </row>
    <row r="104" spans="2:15" ht="15.75" customHeight="1" outlineLevel="1" x14ac:dyDescent="0.25">
      <c r="C104" s="202" t="s">
        <v>161</v>
      </c>
      <c r="D104" s="49" t="s">
        <v>152</v>
      </c>
      <c r="E104" s="198"/>
      <c r="F104" s="198">
        <f>F74</f>
        <v>-112.5</v>
      </c>
      <c r="G104" s="198">
        <f>G74</f>
        <v>-175.3125</v>
      </c>
      <c r="H104" s="87"/>
      <c r="I104" s="88"/>
      <c r="J104" s="89"/>
      <c r="K104" s="198">
        <f>K74</f>
        <v>-223.20703125</v>
      </c>
      <c r="L104" s="198">
        <f>L74</f>
        <v>-271.11937499999999</v>
      </c>
      <c r="M104" s="198">
        <f>M74</f>
        <v>-315.67502250000001</v>
      </c>
      <c r="N104" s="198">
        <f>N74</f>
        <v>-350.38583174250005</v>
      </c>
      <c r="O104" s="198">
        <f>O74</f>
        <v>-388.68321298925258</v>
      </c>
    </row>
    <row r="105" spans="2:15" ht="15.75" customHeight="1" outlineLevel="1" x14ac:dyDescent="0.25">
      <c r="C105" s="34" t="s">
        <v>4</v>
      </c>
      <c r="D105" s="52" t="s">
        <v>152</v>
      </c>
      <c r="E105" s="207"/>
      <c r="F105" s="35">
        <f>SUM(F103:F104)</f>
        <v>37.5</v>
      </c>
      <c r="G105" s="35">
        <f>SUM(G103:G104)</f>
        <v>75.9375</v>
      </c>
      <c r="H105" s="83"/>
      <c r="I105" s="35"/>
      <c r="J105" s="84"/>
      <c r="K105" s="35">
        <f>SUM(K103:K104)</f>
        <v>107.12109375</v>
      </c>
      <c r="L105" s="35">
        <f>SUM(L103:L104)</f>
        <v>138.35812500000009</v>
      </c>
      <c r="M105" s="35">
        <f>SUM(M103:M104)</f>
        <v>170.77506749999998</v>
      </c>
      <c r="N105" s="35">
        <f>SUM(N103:N104)</f>
        <v>197.28249522750002</v>
      </c>
      <c r="O105" s="35">
        <f>SUM(O103:O104)</f>
        <v>226.78713896775747</v>
      </c>
    </row>
    <row r="106" spans="2:15" ht="15.75" customHeight="1" outlineLevel="1" x14ac:dyDescent="0.25">
      <c r="C106" s="212"/>
      <c r="D106" s="212"/>
      <c r="E106" s="212"/>
      <c r="F106" s="212"/>
      <c r="G106" s="212"/>
      <c r="H106" s="233"/>
      <c r="I106" s="212"/>
      <c r="J106" s="234"/>
      <c r="K106" s="212"/>
      <c r="L106" s="212"/>
      <c r="M106" s="212"/>
      <c r="N106" s="212"/>
      <c r="O106" s="212"/>
    </row>
    <row r="107" spans="2:15" ht="15.75" customHeight="1" outlineLevel="1" x14ac:dyDescent="0.25">
      <c r="C107" s="212" t="s">
        <v>55</v>
      </c>
      <c r="D107" s="52" t="s">
        <v>152</v>
      </c>
      <c r="E107" s="212"/>
      <c r="F107" s="236">
        <f>F77</f>
        <v>-20.5</v>
      </c>
      <c r="G107" s="236">
        <f>G77</f>
        <v>-36.263749999999995</v>
      </c>
      <c r="H107" s="85"/>
      <c r="I107" s="71"/>
      <c r="J107" s="86"/>
      <c r="K107" s="236">
        <f>K77</f>
        <v>-49.651734374999997</v>
      </c>
      <c r="L107" s="236">
        <f>L77</f>
        <v>-64.989928928571445</v>
      </c>
      <c r="M107" s="236">
        <f>M77</f>
        <v>-80.552531569999999</v>
      </c>
      <c r="N107" s="236">
        <f>N77</f>
        <v>-95.841957219750014</v>
      </c>
      <c r="O107" s="236">
        <f>O77</f>
        <v>-110.07450525384988</v>
      </c>
    </row>
    <row r="108" spans="2:15" ht="15.75" customHeight="1" outlineLevel="1" x14ac:dyDescent="0.25">
      <c r="H108" s="233"/>
      <c r="I108" s="212"/>
      <c r="J108" s="234"/>
    </row>
    <row r="109" spans="2:15" ht="15.75" customHeight="1" outlineLevel="1" x14ac:dyDescent="0.25">
      <c r="C109" s="3" t="s">
        <v>25</v>
      </c>
      <c r="D109" s="52" t="s">
        <v>152</v>
      </c>
      <c r="F109" s="39">
        <f>F105+F107</f>
        <v>17</v>
      </c>
      <c r="G109" s="39">
        <f>G105+G107</f>
        <v>39.673750000000005</v>
      </c>
      <c r="H109" s="85"/>
      <c r="I109" s="71"/>
      <c r="J109" s="86"/>
      <c r="K109" s="39">
        <f>K105+K107</f>
        <v>57.469359375000003</v>
      </c>
      <c r="L109" s="39">
        <f>L105+L107</f>
        <v>73.368196071428642</v>
      </c>
      <c r="M109" s="39">
        <f>M105+M107</f>
        <v>90.222535929999978</v>
      </c>
      <c r="N109" s="39">
        <f>N105+N107</f>
        <v>101.44053800775001</v>
      </c>
      <c r="O109" s="39">
        <f>O105+O107</f>
        <v>116.71263371390759</v>
      </c>
    </row>
    <row r="110" spans="2:15" ht="15.75" customHeight="1" outlineLevel="1" x14ac:dyDescent="0.25">
      <c r="C110" s="202" t="s">
        <v>101</v>
      </c>
      <c r="D110" s="52" t="s">
        <v>152</v>
      </c>
      <c r="F110" s="21">
        <v>-1</v>
      </c>
      <c r="G110" s="21">
        <v>-1.5</v>
      </c>
      <c r="H110" s="235"/>
      <c r="I110" s="236"/>
      <c r="J110" s="237"/>
      <c r="K110" s="198">
        <f>-K94</f>
        <v>-3.6336093749999998</v>
      </c>
      <c r="L110" s="198">
        <f>-L94</f>
        <v>-4.5042525000000007</v>
      </c>
      <c r="M110" s="198">
        <f>-M94</f>
        <v>-4.8645009000000003</v>
      </c>
      <c r="N110" s="198">
        <f>-N94</f>
        <v>-5.4766832697000005</v>
      </c>
      <c r="O110" s="198">
        <f>-O94</f>
        <v>-6.1547035195701003</v>
      </c>
    </row>
    <row r="111" spans="2:15" ht="15.75" customHeight="1" outlineLevel="1" x14ac:dyDescent="0.25">
      <c r="C111" s="202" t="s">
        <v>102</v>
      </c>
      <c r="D111" s="52" t="s">
        <v>152</v>
      </c>
      <c r="F111" s="21">
        <v>0</v>
      </c>
      <c r="G111" s="21">
        <v>0</v>
      </c>
      <c r="H111" s="235"/>
      <c r="I111" s="236"/>
      <c r="J111" s="237"/>
      <c r="K111" s="198">
        <f>-K97</f>
        <v>0</v>
      </c>
      <c r="L111" s="198">
        <f>-L97</f>
        <v>0</v>
      </c>
      <c r="M111" s="198">
        <f>-M97</f>
        <v>0</v>
      </c>
      <c r="N111" s="198">
        <f>-N97</f>
        <v>0</v>
      </c>
      <c r="O111" s="198">
        <f>-O97</f>
        <v>0</v>
      </c>
    </row>
    <row r="112" spans="2:15" ht="15.75" customHeight="1" outlineLevel="1" x14ac:dyDescent="0.25">
      <c r="C112" s="251" t="s">
        <v>103</v>
      </c>
      <c r="D112" s="176" t="s">
        <v>152</v>
      </c>
      <c r="E112" s="252"/>
      <c r="F112" s="120">
        <v>0</v>
      </c>
      <c r="G112" s="155">
        <v>0</v>
      </c>
      <c r="H112" s="120"/>
      <c r="I112" s="120"/>
      <c r="J112" s="155"/>
      <c r="K112" s="253">
        <f>-$L$64</f>
        <v>-7.233777040570776</v>
      </c>
      <c r="L112" s="253">
        <f>-$L$64</f>
        <v>-7.233777040570776</v>
      </c>
      <c r="M112" s="253">
        <f>-$L$64</f>
        <v>-7.233777040570776</v>
      </c>
      <c r="N112" s="253">
        <f>-$L$64</f>
        <v>-7.233777040570776</v>
      </c>
      <c r="O112" s="253">
        <f>-$L$64</f>
        <v>-7.233777040570776</v>
      </c>
    </row>
    <row r="113" spans="2:15" ht="15.75" customHeight="1" outlineLevel="1" x14ac:dyDescent="0.25">
      <c r="C113" s="254" t="s">
        <v>147</v>
      </c>
      <c r="D113" s="178" t="s">
        <v>152</v>
      </c>
      <c r="E113" s="255"/>
      <c r="F113" s="122">
        <v>0</v>
      </c>
      <c r="G113" s="154">
        <v>0</v>
      </c>
      <c r="H113" s="122"/>
      <c r="I113" s="122"/>
      <c r="J113" s="154"/>
      <c r="K113" s="256">
        <f>-$L$57</f>
        <v>-0.45</v>
      </c>
      <c r="L113" s="256">
        <f t="shared" ref="L113:O113" si="10">-$L$57</f>
        <v>-0.45</v>
      </c>
      <c r="M113" s="256">
        <f t="shared" si="10"/>
        <v>-0.45</v>
      </c>
      <c r="N113" s="256">
        <f t="shared" si="10"/>
        <v>-0.45</v>
      </c>
      <c r="O113" s="256">
        <f t="shared" si="10"/>
        <v>-0.45</v>
      </c>
    </row>
    <row r="114" spans="2:15" ht="15.75" customHeight="1" outlineLevel="1" x14ac:dyDescent="0.25">
      <c r="C114" s="34" t="s">
        <v>27</v>
      </c>
      <c r="D114" s="52" t="s">
        <v>152</v>
      </c>
      <c r="E114" s="207"/>
      <c r="F114" s="71">
        <f>SUM(F109:F113)</f>
        <v>16</v>
      </c>
      <c r="G114" s="71">
        <f>SUM(G109:G113)</f>
        <v>38.173750000000005</v>
      </c>
      <c r="H114" s="85"/>
      <c r="I114" s="71"/>
      <c r="J114" s="86"/>
      <c r="K114" s="35">
        <f>SUM(K109:K113)</f>
        <v>46.151972959429223</v>
      </c>
      <c r="L114" s="35">
        <f t="shared" ref="L114:O114" si="11">SUM(L109:L113)</f>
        <v>61.180166530857854</v>
      </c>
      <c r="M114" s="35">
        <f t="shared" si="11"/>
        <v>77.674257989429208</v>
      </c>
      <c r="N114" s="35">
        <f t="shared" si="11"/>
        <v>88.280077697479229</v>
      </c>
      <c r="O114" s="35">
        <f t="shared" si="11"/>
        <v>102.87415315376671</v>
      </c>
    </row>
    <row r="115" spans="2:15" ht="15.75" customHeight="1" outlineLevel="1" x14ac:dyDescent="0.25">
      <c r="G115" s="212"/>
      <c r="H115" s="233"/>
      <c r="I115" s="212"/>
      <c r="J115" s="234"/>
      <c r="K115" s="198"/>
    </row>
    <row r="116" spans="2:15" ht="15.75" customHeight="1" outlineLevel="1" x14ac:dyDescent="0.25">
      <c r="C116" s="257" t="s">
        <v>56</v>
      </c>
      <c r="D116" s="175" t="s">
        <v>152</v>
      </c>
      <c r="E116" s="258"/>
      <c r="F116" s="124">
        <v>-2.5</v>
      </c>
      <c r="G116" s="156">
        <v>-2.5</v>
      </c>
      <c r="H116" s="258"/>
      <c r="I116" s="258"/>
      <c r="J116" s="259"/>
      <c r="K116" s="260">
        <f>-K207</f>
        <v>-13.290706250000001</v>
      </c>
      <c r="L116" s="260">
        <f t="shared" ref="L116:O116" si="12">-L207</f>
        <v>-12.779209712314426</v>
      </c>
      <c r="M116" s="260">
        <f t="shared" si="12"/>
        <v>-12.170288403661905</v>
      </c>
      <c r="N116" s="260">
        <f t="shared" si="12"/>
        <v>-10.851585629876489</v>
      </c>
      <c r="O116" s="260">
        <f t="shared" si="12"/>
        <v>-8.9306310301475005</v>
      </c>
    </row>
    <row r="117" spans="2:15" ht="15.75" customHeight="1" outlineLevel="1" x14ac:dyDescent="0.25">
      <c r="C117" s="208"/>
      <c r="D117" s="212"/>
      <c r="E117" s="212"/>
      <c r="F117" s="212"/>
      <c r="G117" s="212"/>
      <c r="H117" s="233"/>
      <c r="I117" s="212"/>
      <c r="J117" s="234"/>
      <c r="K117" s="212"/>
      <c r="L117" s="212"/>
      <c r="M117" s="212"/>
      <c r="N117" s="212"/>
      <c r="O117" s="212"/>
    </row>
    <row r="118" spans="2:15" ht="15.75" customHeight="1" outlineLevel="1" x14ac:dyDescent="0.25">
      <c r="C118" s="62" t="s">
        <v>57</v>
      </c>
      <c r="D118" s="48" t="s">
        <v>152</v>
      </c>
      <c r="E118" s="212"/>
      <c r="F118" s="71">
        <f>F114+F116</f>
        <v>13.5</v>
      </c>
      <c r="G118" s="71">
        <f>G114+G116</f>
        <v>35.673750000000005</v>
      </c>
      <c r="H118" s="85"/>
      <c r="I118" s="71"/>
      <c r="J118" s="86"/>
      <c r="K118" s="71">
        <f>K114+K116</f>
        <v>32.861266709429223</v>
      </c>
      <c r="L118" s="71">
        <f>L114+L116</f>
        <v>48.400956818543428</v>
      </c>
      <c r="M118" s="71">
        <f>M114+M116</f>
        <v>65.503969585767308</v>
      </c>
      <c r="N118" s="71">
        <f>N114+N116</f>
        <v>77.428492067602747</v>
      </c>
      <c r="O118" s="71">
        <f>O114+O116</f>
        <v>93.943522123619218</v>
      </c>
    </row>
    <row r="119" spans="2:15" ht="15.75" customHeight="1" outlineLevel="1" x14ac:dyDescent="0.25">
      <c r="C119" s="202" t="s">
        <v>47</v>
      </c>
      <c r="D119" s="52" t="s">
        <v>152</v>
      </c>
      <c r="F119" s="21">
        <v>-2.2950000000000004</v>
      </c>
      <c r="G119" s="21">
        <v>-6.064537500000001</v>
      </c>
      <c r="H119" s="235"/>
      <c r="I119" s="236"/>
      <c r="J119" s="237"/>
      <c r="K119" s="198">
        <f>-K118*Tax_Rate</f>
        <v>-8.2153166773573059</v>
      </c>
      <c r="L119" s="198">
        <f>-L118*Tax_Rate</f>
        <v>-12.100239204635857</v>
      </c>
      <c r="M119" s="198">
        <f>-M118*Tax_Rate</f>
        <v>-16.375992396441827</v>
      </c>
      <c r="N119" s="198">
        <f>-N118*Tax_Rate</f>
        <v>-19.357123016900687</v>
      </c>
      <c r="O119" s="198">
        <f>-O118*Tax_Rate</f>
        <v>-23.485880530904804</v>
      </c>
    </row>
    <row r="120" spans="2:15" ht="15.75" customHeight="1" outlineLevel="1" x14ac:dyDescent="0.25">
      <c r="C120" s="34" t="s">
        <v>28</v>
      </c>
      <c r="D120" s="180" t="s">
        <v>152</v>
      </c>
      <c r="E120" s="321"/>
      <c r="F120" s="66">
        <f>SUM(F118:F119)</f>
        <v>11.205</v>
      </c>
      <c r="G120" s="66">
        <f t="shared" ref="G120" si="13">SUM(G118:G119)</f>
        <v>29.609212500000005</v>
      </c>
      <c r="H120" s="108"/>
      <c r="I120" s="66"/>
      <c r="J120" s="109"/>
      <c r="K120" s="66">
        <f>SUM(K118:K119)</f>
        <v>24.645950032071916</v>
      </c>
      <c r="L120" s="66">
        <f t="shared" ref="L120:O120" si="14">SUM(L118:L119)</f>
        <v>36.300717613907572</v>
      </c>
      <c r="M120" s="66">
        <f t="shared" si="14"/>
        <v>49.127977189325478</v>
      </c>
      <c r="N120" s="66">
        <f t="shared" si="14"/>
        <v>58.07136905070206</v>
      </c>
      <c r="O120" s="66">
        <f t="shared" si="14"/>
        <v>70.45764159271441</v>
      </c>
    </row>
    <row r="121" spans="2:15" ht="15.75" customHeight="1" x14ac:dyDescent="0.25">
      <c r="C121" s="20"/>
      <c r="E121" s="198"/>
      <c r="F121" s="198"/>
      <c r="G121" s="236"/>
      <c r="H121" s="236"/>
      <c r="I121" s="236"/>
      <c r="J121" s="236"/>
      <c r="K121" s="198"/>
      <c r="L121" s="198"/>
      <c r="M121" s="198"/>
      <c r="N121" s="198"/>
      <c r="O121" s="198"/>
    </row>
    <row r="122" spans="2:15" ht="15.75" customHeight="1" x14ac:dyDescent="0.25">
      <c r="B122" s="12"/>
      <c r="C122" s="13"/>
      <c r="D122" s="14"/>
      <c r="E122" s="15" t="str">
        <f>$E$68</f>
        <v>Historical</v>
      </c>
      <c r="F122" s="16"/>
      <c r="G122" s="16"/>
      <c r="H122" s="17" t="str">
        <f>$H$68</f>
        <v>Transaction Adjustments:</v>
      </c>
      <c r="I122" s="16"/>
      <c r="J122" s="16"/>
      <c r="K122" s="17" t="str">
        <f>$K$68</f>
        <v>Projected</v>
      </c>
      <c r="L122" s="18"/>
      <c r="M122" s="16"/>
      <c r="N122" s="16"/>
      <c r="O122" s="16"/>
    </row>
    <row r="123" spans="2:15" ht="15.75" customHeight="1" x14ac:dyDescent="0.25">
      <c r="B123" s="33" t="s">
        <v>58</v>
      </c>
      <c r="C123" s="19"/>
      <c r="D123" s="38" t="str">
        <f>$D$69</f>
        <v>Units:</v>
      </c>
      <c r="E123" s="1">
        <f>$E$69</f>
        <v>43100</v>
      </c>
      <c r="F123" s="1">
        <f>$F$69</f>
        <v>43465</v>
      </c>
      <c r="G123" s="2">
        <f>$G$69</f>
        <v>43830</v>
      </c>
      <c r="H123" s="1" t="str">
        <f>$H$69</f>
        <v>Debit</v>
      </c>
      <c r="I123" s="1" t="str">
        <f>$I$69</f>
        <v>Credit</v>
      </c>
      <c r="J123" s="1">
        <f>$J$69</f>
        <v>43830</v>
      </c>
      <c r="K123" s="64">
        <f>$K$69</f>
        <v>44196</v>
      </c>
      <c r="L123" s="1">
        <f>$L$69</f>
        <v>44561</v>
      </c>
      <c r="M123" s="1">
        <f>$M$69</f>
        <v>44926</v>
      </c>
      <c r="N123" s="1">
        <f>$N$69</f>
        <v>45291</v>
      </c>
      <c r="O123" s="1">
        <f>$O$69</f>
        <v>45657</v>
      </c>
    </row>
    <row r="124" spans="2:15" ht="15.75" hidden="1" customHeight="1" outlineLevel="2" x14ac:dyDescent="0.25">
      <c r="B124" s="69" t="s">
        <v>69</v>
      </c>
      <c r="C124" s="75"/>
      <c r="D124" s="230"/>
      <c r="E124" s="261"/>
      <c r="F124" s="261"/>
      <c r="G124" s="261"/>
      <c r="H124" s="262"/>
      <c r="I124" s="261"/>
      <c r="J124" s="263"/>
      <c r="K124" s="261"/>
      <c r="L124" s="261"/>
      <c r="M124" s="261"/>
      <c r="N124" s="261"/>
      <c r="O124" s="261"/>
    </row>
    <row r="125" spans="2:15" ht="15.75" hidden="1" customHeight="1" outlineLevel="2" x14ac:dyDescent="0.25">
      <c r="B125" s="23"/>
      <c r="C125" s="76" t="s">
        <v>79</v>
      </c>
      <c r="D125" s="201"/>
      <c r="E125" s="264"/>
      <c r="F125" s="264"/>
      <c r="G125" s="264"/>
      <c r="H125" s="265"/>
      <c r="I125" s="264"/>
      <c r="J125" s="266"/>
      <c r="K125" s="264"/>
      <c r="L125" s="264"/>
      <c r="M125" s="264"/>
      <c r="N125" s="264"/>
      <c r="O125" s="264"/>
    </row>
    <row r="126" spans="2:15" ht="15.75" hidden="1" customHeight="1" outlineLevel="2" x14ac:dyDescent="0.25">
      <c r="C126" s="257" t="s">
        <v>59</v>
      </c>
      <c r="D126" s="175" t="s">
        <v>152</v>
      </c>
      <c r="E126" s="128">
        <v>80</v>
      </c>
      <c r="F126" s="128">
        <v>72.316132876712331</v>
      </c>
      <c r="G126" s="128">
        <v>88.241240542808228</v>
      </c>
      <c r="H126" s="336">
        <f>IF(Cash_Free_Debt_Free,K27,0)</f>
        <v>20</v>
      </c>
      <c r="I126" s="129">
        <f>-IF(Cash_Free_Debt_Free,G126,D39)</f>
        <v>-88.241240542808228</v>
      </c>
      <c r="J126" s="130">
        <f>G126+H126+I126</f>
        <v>20</v>
      </c>
      <c r="K126" s="129">
        <f>K188</f>
        <v>24.754298059679492</v>
      </c>
      <c r="L126" s="129">
        <f>L188</f>
        <v>32.289532593197514</v>
      </c>
      <c r="M126" s="129">
        <f>M188</f>
        <v>42.649643014593245</v>
      </c>
      <c r="N126" s="129">
        <f>N188</f>
        <v>54.229347247315843</v>
      </c>
      <c r="O126" s="129">
        <f>O188</f>
        <v>30.403259663740471</v>
      </c>
    </row>
    <row r="127" spans="2:15" ht="15.75" hidden="1" customHeight="1" outlineLevel="2" x14ac:dyDescent="0.25">
      <c r="C127" s="202" t="s">
        <v>60</v>
      </c>
      <c r="D127" s="52" t="s">
        <v>152</v>
      </c>
      <c r="E127" s="21">
        <v>0</v>
      </c>
      <c r="F127" s="21">
        <v>12.328767123287671</v>
      </c>
      <c r="G127" s="21">
        <v>22.027397260273972</v>
      </c>
      <c r="H127" s="111">
        <v>0</v>
      </c>
      <c r="I127" s="22">
        <v>0</v>
      </c>
      <c r="J127" s="237">
        <f>G127+H127+I127</f>
        <v>22.027397260273972</v>
      </c>
      <c r="K127" s="198">
        <f>K81/(K123-J123)*K103</f>
        <v>29.783683401639344</v>
      </c>
      <c r="L127" s="198">
        <f>L81/(L123-K123)*L103</f>
        <v>39.264965753424661</v>
      </c>
      <c r="M127" s="198">
        <f>M81/(M123-L123)*M103</f>
        <v>49.311378986301371</v>
      </c>
      <c r="N127" s="198">
        <f>N81/(N123-M123)*N103</f>
        <v>58.517985621452063</v>
      </c>
      <c r="O127" s="198">
        <f>O81/(O123-N123)*O103</f>
        <v>67.264519339563932</v>
      </c>
    </row>
    <row r="128" spans="2:15" ht="15.75" hidden="1" customHeight="1" outlineLevel="2" x14ac:dyDescent="0.25">
      <c r="C128" s="202" t="s">
        <v>62</v>
      </c>
      <c r="D128" s="49" t="s">
        <v>152</v>
      </c>
      <c r="E128" s="21">
        <v>0</v>
      </c>
      <c r="F128" s="21">
        <v>4.1095890410958908</v>
      </c>
      <c r="G128" s="21">
        <v>6.1643835616438354</v>
      </c>
      <c r="H128" s="111">
        <v>0</v>
      </c>
      <c r="I128" s="22">
        <v>0</v>
      </c>
      <c r="J128" s="237">
        <f>G128+H128+I128</f>
        <v>6.1643835616438354</v>
      </c>
      <c r="K128" s="198">
        <f>-K104*K82/(K123-J123)</f>
        <v>7.6231909579918034</v>
      </c>
      <c r="L128" s="198">
        <f t="shared" ref="L128:O128" si="15">-L104*L82/(L123-K123)</f>
        <v>9.1363515410958893</v>
      </c>
      <c r="M128" s="198">
        <f t="shared" si="15"/>
        <v>10.378356904109589</v>
      </c>
      <c r="N128" s="198">
        <f t="shared" si="15"/>
        <v>11.327541957702742</v>
      </c>
      <c r="O128" s="198">
        <f t="shared" si="15"/>
        <v>12.212723905400011</v>
      </c>
    </row>
    <row r="129" spans="2:15" ht="15.75" hidden="1" customHeight="1" outlineLevel="2" x14ac:dyDescent="0.25">
      <c r="C129" s="73" t="s">
        <v>61</v>
      </c>
      <c r="D129" s="52" t="s">
        <v>152</v>
      </c>
      <c r="E129" s="35">
        <f>SUM(E126:E128)</f>
        <v>80</v>
      </c>
      <c r="F129" s="35">
        <f>SUM(F126:F128)</f>
        <v>88.754489041095894</v>
      </c>
      <c r="G129" s="35">
        <f>SUM(G126:G128)</f>
        <v>116.43302136472603</v>
      </c>
      <c r="H129" s="83"/>
      <c r="I129" s="35"/>
      <c r="J129" s="84">
        <f>SUM(J126:J128)</f>
        <v>48.19178082191781</v>
      </c>
      <c r="K129" s="35">
        <f>SUM(K126:K128)</f>
        <v>62.161172419310638</v>
      </c>
      <c r="L129" s="35">
        <f t="shared" ref="L129:O129" si="16">SUM(L126:L128)</f>
        <v>80.690849887718073</v>
      </c>
      <c r="M129" s="35">
        <f t="shared" si="16"/>
        <v>102.33937890500421</v>
      </c>
      <c r="N129" s="35">
        <f t="shared" si="16"/>
        <v>124.07487482647065</v>
      </c>
      <c r="O129" s="35">
        <f t="shared" si="16"/>
        <v>109.88050290870441</v>
      </c>
    </row>
    <row r="130" spans="2:15" ht="15.75" hidden="1" customHeight="1" outlineLevel="2" x14ac:dyDescent="0.25">
      <c r="C130" s="20"/>
      <c r="E130" s="198"/>
      <c r="F130" s="198"/>
      <c r="G130" s="236"/>
      <c r="H130" s="235"/>
      <c r="I130" s="236"/>
      <c r="J130" s="237"/>
      <c r="K130" s="236"/>
      <c r="L130" s="236"/>
      <c r="M130" s="236"/>
      <c r="N130" s="236"/>
      <c r="O130" s="236"/>
    </row>
    <row r="131" spans="2:15" ht="15.75" hidden="1" customHeight="1" outlineLevel="2" x14ac:dyDescent="0.25">
      <c r="C131" s="72" t="s">
        <v>80</v>
      </c>
      <c r="E131" s="198"/>
      <c r="F131" s="198"/>
      <c r="G131" s="236"/>
      <c r="H131" s="235"/>
      <c r="I131" s="236"/>
      <c r="J131" s="237"/>
      <c r="K131" s="236"/>
      <c r="L131" s="236"/>
      <c r="M131" s="236"/>
      <c r="N131" s="236"/>
      <c r="O131" s="236"/>
    </row>
    <row r="132" spans="2:15" ht="15.75" hidden="1" customHeight="1" outlineLevel="2" x14ac:dyDescent="0.25">
      <c r="C132" s="251" t="s">
        <v>63</v>
      </c>
      <c r="D132" s="176" t="s">
        <v>152</v>
      </c>
      <c r="E132" s="120">
        <v>20</v>
      </c>
      <c r="F132" s="120">
        <v>21</v>
      </c>
      <c r="G132" s="120">
        <v>22.5</v>
      </c>
      <c r="H132" s="267">
        <f>L55</f>
        <v>2.25</v>
      </c>
      <c r="I132" s="120">
        <v>0</v>
      </c>
      <c r="J132" s="268">
        <f>G132+H132+I132</f>
        <v>24.75</v>
      </c>
      <c r="K132" s="253">
        <f>J132-K162-K165-K179</f>
        <v>27.272953125000001</v>
      </c>
      <c r="L132" s="253">
        <f>K132-L162-L165-L179</f>
        <v>30.098773125000001</v>
      </c>
      <c r="M132" s="253">
        <f>L132-M162-M165-M179</f>
        <v>34.026823935000003</v>
      </c>
      <c r="N132" s="253">
        <f>M132-N162-N165-N179</f>
        <v>37.958170550760002</v>
      </c>
      <c r="O132" s="253">
        <f>N132-O162-O165-O179</f>
        <v>42.431933366416082</v>
      </c>
    </row>
    <row r="133" spans="2:15" ht="15.75" hidden="1" customHeight="1" outlineLevel="2" x14ac:dyDescent="0.25">
      <c r="C133" s="269" t="s">
        <v>64</v>
      </c>
      <c r="D133" s="177" t="s">
        <v>152</v>
      </c>
      <c r="E133" s="121">
        <v>0</v>
      </c>
      <c r="F133" s="121">
        <v>0</v>
      </c>
      <c r="G133" s="121">
        <v>0</v>
      </c>
      <c r="H133" s="270">
        <f>E64</f>
        <v>458.40199646138694</v>
      </c>
      <c r="I133" s="271">
        <f>-E57</f>
        <v>0</v>
      </c>
      <c r="J133" s="272">
        <f>G133+H133+I133</f>
        <v>458.40199646138694</v>
      </c>
      <c r="K133" s="271">
        <f t="shared" ref="K133:O134" si="17">J133-K163</f>
        <v>458.40199646138694</v>
      </c>
      <c r="L133" s="271">
        <f t="shared" si="17"/>
        <v>458.40199646138694</v>
      </c>
      <c r="M133" s="271">
        <f t="shared" si="17"/>
        <v>458.40199646138694</v>
      </c>
      <c r="N133" s="271">
        <f t="shared" si="17"/>
        <v>458.40199646138694</v>
      </c>
      <c r="O133" s="271">
        <f t="shared" si="17"/>
        <v>458.40199646138694</v>
      </c>
    </row>
    <row r="134" spans="2:15" ht="15.75" hidden="1" customHeight="1" outlineLevel="2" x14ac:dyDescent="0.25">
      <c r="C134" s="273" t="s">
        <v>65</v>
      </c>
      <c r="D134" s="178" t="s">
        <v>152</v>
      </c>
      <c r="E134" s="122">
        <v>0</v>
      </c>
      <c r="F134" s="122">
        <v>0</v>
      </c>
      <c r="G134" s="122">
        <v>0</v>
      </c>
      <c r="H134" s="274">
        <f>-E61</f>
        <v>108.50665560856164</v>
      </c>
      <c r="I134" s="122">
        <v>0</v>
      </c>
      <c r="J134" s="275">
        <f>G134+H134+I134</f>
        <v>108.50665560856164</v>
      </c>
      <c r="K134" s="276">
        <f t="shared" si="17"/>
        <v>101.27287856799087</v>
      </c>
      <c r="L134" s="276">
        <f t="shared" si="17"/>
        <v>94.039101527420101</v>
      </c>
      <c r="M134" s="276">
        <f t="shared" si="17"/>
        <v>86.805324486849329</v>
      </c>
      <c r="N134" s="276">
        <f t="shared" si="17"/>
        <v>79.571547446278558</v>
      </c>
      <c r="O134" s="276">
        <f t="shared" si="17"/>
        <v>72.337770405707786</v>
      </c>
    </row>
    <row r="135" spans="2:15" ht="15.75" hidden="1" customHeight="1" outlineLevel="2" x14ac:dyDescent="0.25">
      <c r="C135" s="203" t="s">
        <v>66</v>
      </c>
      <c r="D135" s="49" t="s">
        <v>152</v>
      </c>
      <c r="E135" s="77">
        <v>0</v>
      </c>
      <c r="F135" s="77">
        <v>7.5</v>
      </c>
      <c r="G135" s="77">
        <v>12.5625</v>
      </c>
      <c r="H135" s="131">
        <v>0</v>
      </c>
      <c r="I135" s="77">
        <v>0</v>
      </c>
      <c r="J135" s="241">
        <f>G135+H135+I135</f>
        <v>12.5625</v>
      </c>
      <c r="K135" s="240">
        <f>K103*K85</f>
        <v>16.516406249999999</v>
      </c>
      <c r="L135" s="240">
        <f>L103*L85</f>
        <v>20.473875000000007</v>
      </c>
      <c r="M135" s="240">
        <f>M103*M85</f>
        <v>24.322504500000001</v>
      </c>
      <c r="N135" s="240">
        <f>N103*N85</f>
        <v>27.383416348500006</v>
      </c>
      <c r="O135" s="240">
        <f>O103*O85</f>
        <v>30.773517597850503</v>
      </c>
    </row>
    <row r="136" spans="2:15" ht="15.75" hidden="1" customHeight="1" outlineLevel="2" x14ac:dyDescent="0.25">
      <c r="C136" s="74" t="s">
        <v>67</v>
      </c>
      <c r="D136" s="52" t="s">
        <v>152</v>
      </c>
      <c r="E136" s="39">
        <f>SUM(E132:E135)</f>
        <v>20</v>
      </c>
      <c r="F136" s="39">
        <f>SUM(F132:F135)</f>
        <v>28.5</v>
      </c>
      <c r="G136" s="39">
        <f>SUM(G132:G135)</f>
        <v>35.0625</v>
      </c>
      <c r="H136" s="85"/>
      <c r="I136" s="71"/>
      <c r="J136" s="86">
        <f>SUM(J132:J135)</f>
        <v>604.22115206994863</v>
      </c>
      <c r="K136" s="39">
        <f>SUM(K132:K135)</f>
        <v>603.46423440437786</v>
      </c>
      <c r="L136" s="39">
        <f t="shared" ref="L136:O136" si="18">SUM(L132:L135)</f>
        <v>603.01374611380709</v>
      </c>
      <c r="M136" s="39">
        <f t="shared" si="18"/>
        <v>603.55664938323628</v>
      </c>
      <c r="N136" s="39">
        <f t="shared" si="18"/>
        <v>603.31513080692548</v>
      </c>
      <c r="O136" s="39">
        <f t="shared" si="18"/>
        <v>603.94521783136133</v>
      </c>
    </row>
    <row r="137" spans="2:15" ht="15.75" hidden="1" customHeight="1" outlineLevel="2" x14ac:dyDescent="0.25">
      <c r="C137" s="20"/>
      <c r="E137" s="198"/>
      <c r="F137" s="198"/>
      <c r="G137" s="198"/>
      <c r="H137" s="235"/>
      <c r="I137" s="236"/>
      <c r="J137" s="237"/>
      <c r="K137" s="198"/>
      <c r="L137" s="198"/>
      <c r="M137" s="198"/>
      <c r="N137" s="198"/>
      <c r="O137" s="198"/>
    </row>
    <row r="138" spans="2:15" ht="15.75" hidden="1" customHeight="1" outlineLevel="2" x14ac:dyDescent="0.25">
      <c r="C138" s="72" t="s">
        <v>68</v>
      </c>
      <c r="D138" s="52" t="s">
        <v>152</v>
      </c>
      <c r="E138" s="65">
        <f>E129+E136</f>
        <v>100</v>
      </c>
      <c r="F138" s="65">
        <f>F129+F136</f>
        <v>117.25448904109589</v>
      </c>
      <c r="G138" s="65">
        <f>G129+G136</f>
        <v>151.49552136472602</v>
      </c>
      <c r="H138" s="87"/>
      <c r="I138" s="88"/>
      <c r="J138" s="89">
        <f t="shared" ref="J138:O138" si="19">J129+J136</f>
        <v>652.41293289186649</v>
      </c>
      <c r="K138" s="65">
        <f t="shared" si="19"/>
        <v>665.62540682368854</v>
      </c>
      <c r="L138" s="65">
        <f t="shared" si="19"/>
        <v>683.70459600152515</v>
      </c>
      <c r="M138" s="65">
        <f t="shared" si="19"/>
        <v>705.89602828824047</v>
      </c>
      <c r="N138" s="65">
        <f t="shared" si="19"/>
        <v>727.39000563339619</v>
      </c>
      <c r="O138" s="65">
        <f t="shared" si="19"/>
        <v>713.82572074006578</v>
      </c>
    </row>
    <row r="139" spans="2:15" ht="15.75" hidden="1" customHeight="1" outlineLevel="2" x14ac:dyDescent="0.25">
      <c r="C139" s="20"/>
      <c r="E139" s="198"/>
      <c r="F139" s="198"/>
      <c r="G139" s="236"/>
      <c r="H139" s="235"/>
      <c r="I139" s="236"/>
      <c r="J139" s="237"/>
      <c r="K139" s="198"/>
      <c r="L139" s="198"/>
      <c r="M139" s="198"/>
      <c r="N139" s="198"/>
      <c r="O139" s="198"/>
    </row>
    <row r="140" spans="2:15" ht="15.75" customHeight="1" outlineLevel="1" collapsed="1" x14ac:dyDescent="0.25">
      <c r="B140" s="69" t="s">
        <v>73</v>
      </c>
      <c r="C140" s="75"/>
      <c r="D140" s="230"/>
      <c r="E140" s="261"/>
      <c r="F140" s="261"/>
      <c r="G140" s="261"/>
      <c r="H140" s="262"/>
      <c r="I140" s="261"/>
      <c r="J140" s="263"/>
      <c r="K140" s="261"/>
      <c r="L140" s="261"/>
      <c r="M140" s="261"/>
      <c r="N140" s="261"/>
      <c r="O140" s="261"/>
    </row>
    <row r="141" spans="2:15" ht="15.75" customHeight="1" outlineLevel="1" x14ac:dyDescent="0.25">
      <c r="C141" s="72" t="s">
        <v>81</v>
      </c>
      <c r="E141" s="198"/>
      <c r="F141" s="198"/>
      <c r="G141" s="236"/>
      <c r="H141" s="235"/>
      <c r="I141" s="236"/>
      <c r="J141" s="237"/>
      <c r="K141" s="198"/>
      <c r="L141" s="198"/>
      <c r="M141" s="198"/>
      <c r="N141" s="198"/>
      <c r="O141" s="198"/>
    </row>
    <row r="142" spans="2:15" ht="15.75" customHeight="1" outlineLevel="1" x14ac:dyDescent="0.25">
      <c r="C142" s="202" t="s">
        <v>70</v>
      </c>
      <c r="D142" s="52" t="s">
        <v>152</v>
      </c>
      <c r="E142" s="67">
        <v>0</v>
      </c>
      <c r="F142" s="67">
        <v>4.1095890410958908</v>
      </c>
      <c r="G142" s="67">
        <v>6.4726027397260273</v>
      </c>
      <c r="H142" s="110">
        <v>0</v>
      </c>
      <c r="I142" s="132">
        <v>0</v>
      </c>
      <c r="J142" s="238">
        <f>G142+H142+I142</f>
        <v>6.4726027397260273</v>
      </c>
      <c r="K142" s="206">
        <f>-(K83*K104)/(K123-J123)</f>
        <v>8.3550172899590152</v>
      </c>
      <c r="L142" s="206">
        <f t="shared" ref="L142:O142" si="20">-(L83*L104)/(L123-K123)</f>
        <v>10.324820034246576</v>
      </c>
      <c r="M142" s="206">
        <f t="shared" si="20"/>
        <v>12.194569362328767</v>
      </c>
      <c r="N142" s="206">
        <f t="shared" si="20"/>
        <v>13.727444914843154</v>
      </c>
      <c r="O142" s="206">
        <f t="shared" si="20"/>
        <v>15.398651880721756</v>
      </c>
    </row>
    <row r="143" spans="2:15" ht="15.75" customHeight="1" outlineLevel="1" x14ac:dyDescent="0.25">
      <c r="C143" s="202" t="s">
        <v>71</v>
      </c>
      <c r="D143" s="49" t="s">
        <v>152</v>
      </c>
      <c r="E143" s="21">
        <v>0</v>
      </c>
      <c r="F143" s="21">
        <v>0.22950000000000004</v>
      </c>
      <c r="G143" s="21">
        <v>0.60645375000000012</v>
      </c>
      <c r="H143" s="111">
        <v>0</v>
      </c>
      <c r="I143" s="22">
        <v>0</v>
      </c>
      <c r="J143" s="237">
        <f>G143+H143+I143</f>
        <v>0.60645375000000012</v>
      </c>
      <c r="K143" s="198">
        <f>-K119*K87</f>
        <v>0.9036848345093037</v>
      </c>
      <c r="L143" s="198">
        <f>-L119*L87</f>
        <v>1.3310263125099442</v>
      </c>
      <c r="M143" s="198">
        <f>-M119*M87</f>
        <v>1.9651190875730191</v>
      </c>
      <c r="N143" s="198">
        <f>-N119*N87</f>
        <v>2.3228547620280824</v>
      </c>
      <c r="O143" s="198">
        <f>-O119*O87</f>
        <v>2.8183056637085766</v>
      </c>
    </row>
    <row r="144" spans="2:15" ht="15.75" customHeight="1" outlineLevel="1" x14ac:dyDescent="0.25">
      <c r="C144" s="73" t="s">
        <v>72</v>
      </c>
      <c r="D144" s="52" t="s">
        <v>152</v>
      </c>
      <c r="E144" s="35">
        <f>SUM(E142:E143)</f>
        <v>0</v>
      </c>
      <c r="F144" s="35">
        <f>SUM(F142:F143)</f>
        <v>4.3390890410958907</v>
      </c>
      <c r="G144" s="35">
        <f>SUM(G142:G143)</f>
        <v>7.0790564897260273</v>
      </c>
      <c r="H144" s="83"/>
      <c r="I144" s="35"/>
      <c r="J144" s="84">
        <f>SUM(J142:J143)</f>
        <v>7.0790564897260273</v>
      </c>
      <c r="K144" s="35">
        <f>SUM(K142:K143)</f>
        <v>9.2587021244683196</v>
      </c>
      <c r="L144" s="35">
        <f t="shared" ref="L144:O144" si="21">SUM(L142:L143)</f>
        <v>11.655846346756521</v>
      </c>
      <c r="M144" s="35">
        <f t="shared" si="21"/>
        <v>14.159688449901786</v>
      </c>
      <c r="N144" s="35">
        <f t="shared" si="21"/>
        <v>16.050299676871237</v>
      </c>
      <c r="O144" s="35">
        <f t="shared" si="21"/>
        <v>18.216957544430333</v>
      </c>
    </row>
    <row r="145" spans="2:15" ht="15.75" customHeight="1" outlineLevel="1" x14ac:dyDescent="0.25">
      <c r="C145" s="20"/>
      <c r="E145" s="198"/>
      <c r="F145" s="198"/>
      <c r="G145" s="236"/>
      <c r="H145" s="235"/>
      <c r="I145" s="236"/>
      <c r="J145" s="237"/>
      <c r="K145" s="236"/>
      <c r="L145" s="236"/>
      <c r="M145" s="236"/>
      <c r="N145" s="236"/>
      <c r="O145" s="236"/>
    </row>
    <row r="146" spans="2:15" ht="15.75" customHeight="1" outlineLevel="1" x14ac:dyDescent="0.25">
      <c r="C146" s="72" t="s">
        <v>82</v>
      </c>
      <c r="E146" s="198"/>
      <c r="F146" s="198"/>
      <c r="G146" s="236"/>
      <c r="H146" s="235"/>
      <c r="I146" s="236"/>
      <c r="J146" s="237"/>
      <c r="K146" s="236"/>
      <c r="L146" s="236"/>
      <c r="M146" s="236"/>
      <c r="N146" s="236"/>
      <c r="O146" s="236"/>
    </row>
    <row r="147" spans="2:15" ht="15.75" customHeight="1" outlineLevel="1" x14ac:dyDescent="0.25">
      <c r="C147" s="313" t="s">
        <v>186</v>
      </c>
      <c r="D147" s="176" t="s">
        <v>152</v>
      </c>
      <c r="E147" s="120">
        <v>50</v>
      </c>
      <c r="F147" s="120">
        <v>50</v>
      </c>
      <c r="G147" s="120">
        <v>50</v>
      </c>
      <c r="H147" s="267">
        <f>IF(Cash_Free_Debt_Free,D20,-K36)</f>
        <v>-50</v>
      </c>
      <c r="I147" s="253">
        <f>IF(Cash_Free_Debt_Free,SUM(D26:D28),SUM(D35:D37))</f>
        <v>198.36875000000003</v>
      </c>
      <c r="J147" s="268">
        <f>G147+H147+I147</f>
        <v>198.36875000000003</v>
      </c>
      <c r="K147" s="253">
        <f>J147+K166+K186+K187</f>
        <v>184.09275194032054</v>
      </c>
      <c r="L147" s="253">
        <f>K147+L166+L186+L187</f>
        <v>162.35293209712302</v>
      </c>
      <c r="M147" s="253">
        <f>L147+M166+M186+M187</f>
        <v>130.32655696502977</v>
      </c>
      <c r="N147" s="253">
        <f>M147+N166+N186+N187</f>
        <v>89.306310301475008</v>
      </c>
      <c r="O147" s="253">
        <f>N147+O166+O186+O187</f>
        <v>0</v>
      </c>
    </row>
    <row r="148" spans="2:15" ht="15.75" customHeight="1" outlineLevel="1" x14ac:dyDescent="0.25">
      <c r="C148" s="273" t="s">
        <v>75</v>
      </c>
      <c r="D148" s="178" t="s">
        <v>152</v>
      </c>
      <c r="E148" s="122">
        <v>0</v>
      </c>
      <c r="F148" s="122">
        <v>0.27540000000000003</v>
      </c>
      <c r="G148" s="122">
        <v>1.0637898750000001</v>
      </c>
      <c r="H148" s="274">
        <f>E62</f>
        <v>-1.0637898750000001</v>
      </c>
      <c r="I148" s="276">
        <f>L66</f>
        <v>27.689163902140411</v>
      </c>
      <c r="J148" s="275">
        <f>G148+H148+I148</f>
        <v>27.689163902140411</v>
      </c>
      <c r="K148" s="276">
        <f>J148+K167+K168</f>
        <v>26.918363976827742</v>
      </c>
      <c r="L148" s="276">
        <f>K148+L167+L168</f>
        <v>26.812455597380428</v>
      </c>
      <c r="M148" s="276">
        <f>L148+M167+M168</f>
        <v>27.347910196704007</v>
      </c>
      <c r="N148" s="276">
        <f>M148+N167+N168</f>
        <v>28.524105619265423</v>
      </c>
      <c r="O148" s="276">
        <f>N148+O167+O168</f>
        <v>30.3609022440675</v>
      </c>
    </row>
    <row r="149" spans="2:15" ht="15.75" customHeight="1" outlineLevel="1" x14ac:dyDescent="0.25">
      <c r="C149" s="202" t="s">
        <v>74</v>
      </c>
      <c r="D149" s="49" t="s">
        <v>152</v>
      </c>
      <c r="E149" s="21">
        <v>0</v>
      </c>
      <c r="F149" s="21">
        <v>1.4350000000000001</v>
      </c>
      <c r="G149" s="21">
        <v>2.5384625000000001</v>
      </c>
      <c r="H149" s="111">
        <v>0</v>
      </c>
      <c r="I149" s="22">
        <v>0</v>
      </c>
      <c r="J149" s="237">
        <f>G149+H149+I149</f>
        <v>2.5384625000000001</v>
      </c>
      <c r="K149" s="198">
        <f>-K88*K107</f>
        <v>3.9721387499999996</v>
      </c>
      <c r="L149" s="198">
        <f t="shared" ref="L149:O149" si="22">-L88*L107</f>
        <v>5.199194314285716</v>
      </c>
      <c r="M149" s="198">
        <f t="shared" si="22"/>
        <v>7.2497278412999995</v>
      </c>
      <c r="N149" s="198">
        <f t="shared" si="22"/>
        <v>8.6257761497775007</v>
      </c>
      <c r="O149" s="198">
        <f t="shared" si="22"/>
        <v>9.9067054728464878</v>
      </c>
    </row>
    <row r="150" spans="2:15" ht="15.75" customHeight="1" outlineLevel="1" x14ac:dyDescent="0.25">
      <c r="C150" s="73" t="s">
        <v>76</v>
      </c>
      <c r="D150" s="52" t="s">
        <v>152</v>
      </c>
      <c r="E150" s="78">
        <f>SUM(E147:E149)</f>
        <v>50</v>
      </c>
      <c r="F150" s="78">
        <f>SUM(F147:F149)</f>
        <v>51.7104</v>
      </c>
      <c r="G150" s="78">
        <f>SUM(G147:G149)</f>
        <v>53.602252374999999</v>
      </c>
      <c r="H150" s="90"/>
      <c r="I150" s="78"/>
      <c r="J150" s="91">
        <f>SUM(J147:J149)</f>
        <v>228.59637640214046</v>
      </c>
      <c r="K150" s="35">
        <f>SUM(K147:K149)</f>
        <v>214.98325466714829</v>
      </c>
      <c r="L150" s="35">
        <f t="shared" ref="L150:O150" si="23">SUM(L147:L149)</f>
        <v>194.36458200878914</v>
      </c>
      <c r="M150" s="35">
        <f t="shared" si="23"/>
        <v>164.92419500303379</v>
      </c>
      <c r="N150" s="35">
        <f t="shared" si="23"/>
        <v>126.45619207051794</v>
      </c>
      <c r="O150" s="35">
        <f t="shared" si="23"/>
        <v>40.267607716913986</v>
      </c>
    </row>
    <row r="151" spans="2:15" ht="15.75" customHeight="1" outlineLevel="1" x14ac:dyDescent="0.25">
      <c r="C151" s="20"/>
      <c r="E151" s="198"/>
      <c r="F151" s="198"/>
      <c r="G151" s="236"/>
      <c r="H151" s="235"/>
      <c r="I151" s="236"/>
      <c r="J151" s="237"/>
      <c r="K151" s="236"/>
      <c r="L151" s="236"/>
      <c r="M151" s="236"/>
      <c r="N151" s="236"/>
      <c r="O151" s="236"/>
    </row>
    <row r="152" spans="2:15" ht="15.75" customHeight="1" outlineLevel="1" x14ac:dyDescent="0.25">
      <c r="C152" s="123" t="s">
        <v>172</v>
      </c>
      <c r="D152" s="175" t="s">
        <v>152</v>
      </c>
      <c r="E152" s="184">
        <v>50</v>
      </c>
      <c r="F152" s="184">
        <v>61.204999999999998</v>
      </c>
      <c r="G152" s="184">
        <v>90.814212499999996</v>
      </c>
      <c r="H152" s="126">
        <f>E56-IF(Cash_Free_Debt_Free,K28,K38)</f>
        <v>-100.8142125</v>
      </c>
      <c r="I152" s="125">
        <f>IF(Cash_Free_Debt_Free,D29,D40)</f>
        <v>426.73750000000001</v>
      </c>
      <c r="J152" s="127">
        <f>G152+H152+I152</f>
        <v>416.73750000000001</v>
      </c>
      <c r="K152" s="125">
        <f>J152+K161</f>
        <v>441.38345003207195</v>
      </c>
      <c r="L152" s="125">
        <f>K152+L161</f>
        <v>477.68416764597953</v>
      </c>
      <c r="M152" s="125">
        <f>L152+M161</f>
        <v>526.81214483530505</v>
      </c>
      <c r="N152" s="125">
        <f>M152+N161</f>
        <v>584.88351388600711</v>
      </c>
      <c r="O152" s="125">
        <f>N152+O161</f>
        <v>655.34115547872148</v>
      </c>
    </row>
    <row r="153" spans="2:15" ht="15.75" customHeight="1" outlineLevel="1" x14ac:dyDescent="0.25">
      <c r="C153" s="20"/>
      <c r="E153" s="198"/>
      <c r="F153" s="198"/>
      <c r="G153" s="198"/>
      <c r="H153" s="235"/>
      <c r="I153" s="236"/>
      <c r="J153" s="237"/>
      <c r="K153" s="198"/>
      <c r="L153" s="198"/>
      <c r="M153" s="198"/>
      <c r="N153" s="198"/>
      <c r="O153" s="198"/>
    </row>
    <row r="154" spans="2:15" ht="15.75" customHeight="1" outlineLevel="1" x14ac:dyDescent="0.25">
      <c r="C154" s="72" t="s">
        <v>77</v>
      </c>
      <c r="D154" s="52" t="s">
        <v>152</v>
      </c>
      <c r="E154" s="65">
        <f>E144+E150+E152</f>
        <v>100</v>
      </c>
      <c r="F154" s="65">
        <f>F144+F150+F152</f>
        <v>117.25448904109589</v>
      </c>
      <c r="G154" s="65">
        <f>G144+G150+G152</f>
        <v>151.49552136472602</v>
      </c>
      <c r="H154" s="87"/>
      <c r="I154" s="88"/>
      <c r="J154" s="89">
        <f t="shared" ref="J154:O154" si="24">J144+J150+J152</f>
        <v>652.41293289186649</v>
      </c>
      <c r="K154" s="65">
        <f t="shared" si="24"/>
        <v>665.62540682368854</v>
      </c>
      <c r="L154" s="65">
        <f t="shared" si="24"/>
        <v>683.70459600152526</v>
      </c>
      <c r="M154" s="65">
        <f t="shared" si="24"/>
        <v>705.89602828824059</v>
      </c>
      <c r="N154" s="65">
        <f t="shared" si="24"/>
        <v>727.3900056333963</v>
      </c>
      <c r="O154" s="65">
        <f t="shared" si="24"/>
        <v>713.82572074006578</v>
      </c>
    </row>
    <row r="155" spans="2:15" ht="15.75" customHeight="1" outlineLevel="1" x14ac:dyDescent="0.25">
      <c r="C155" s="20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</row>
    <row r="156" spans="2:15" ht="15.75" customHeight="1" outlineLevel="1" x14ac:dyDescent="0.25">
      <c r="C156" s="244" t="s">
        <v>78</v>
      </c>
      <c r="E156" s="79">
        <f>E138-E154</f>
        <v>0</v>
      </c>
      <c r="F156" s="79">
        <f>F138-F154</f>
        <v>0</v>
      </c>
      <c r="G156" s="79">
        <f>G138-G154</f>
        <v>0</v>
      </c>
      <c r="H156" s="79"/>
      <c r="I156" s="79"/>
      <c r="J156" s="79">
        <f t="shared" ref="J156:O156" si="25">J138-J154</f>
        <v>0</v>
      </c>
      <c r="K156" s="79">
        <f t="shared" si="25"/>
        <v>0</v>
      </c>
      <c r="L156" s="79">
        <f t="shared" si="25"/>
        <v>0</v>
      </c>
      <c r="M156" s="79">
        <f t="shared" si="25"/>
        <v>0</v>
      </c>
      <c r="N156" s="79">
        <f t="shared" si="25"/>
        <v>0</v>
      </c>
      <c r="O156" s="79">
        <f t="shared" si="25"/>
        <v>0</v>
      </c>
    </row>
    <row r="157" spans="2:15" ht="15.75" customHeight="1" x14ac:dyDescent="0.25">
      <c r="C157" s="20"/>
      <c r="E157" s="198"/>
      <c r="F157" s="198"/>
      <c r="G157" s="236"/>
      <c r="H157" s="236"/>
      <c r="I157" s="236"/>
      <c r="J157" s="236"/>
      <c r="K157" s="198"/>
      <c r="L157" s="198"/>
      <c r="M157" s="198"/>
      <c r="N157" s="198"/>
      <c r="O157" s="198"/>
    </row>
    <row r="158" spans="2:15" ht="15.75" customHeight="1" x14ac:dyDescent="0.25">
      <c r="B158" s="26"/>
      <c r="C158" s="27"/>
      <c r="D158" s="14"/>
      <c r="E158" s="15" t="str">
        <f>$E$68</f>
        <v>Historical</v>
      </c>
      <c r="F158" s="16"/>
      <c r="G158" s="16"/>
      <c r="H158" s="17" t="str">
        <f>$H$68</f>
        <v>Transaction Adjustments:</v>
      </c>
      <c r="I158" s="16"/>
      <c r="J158" s="16"/>
      <c r="K158" s="17" t="str">
        <f>$K$68</f>
        <v>Projected</v>
      </c>
      <c r="L158" s="18"/>
      <c r="M158" s="16"/>
      <c r="N158" s="16"/>
      <c r="O158" s="16"/>
    </row>
    <row r="159" spans="2:15" ht="15.75" customHeight="1" x14ac:dyDescent="0.25">
      <c r="B159" s="4" t="s">
        <v>32</v>
      </c>
      <c r="C159" s="5"/>
      <c r="D159" s="38" t="str">
        <f>$D$69</f>
        <v>Units:</v>
      </c>
      <c r="E159" s="1">
        <f>$E$69</f>
        <v>43100</v>
      </c>
      <c r="F159" s="1">
        <f>$F$69</f>
        <v>43465</v>
      </c>
      <c r="G159" s="2">
        <f>$G$69</f>
        <v>43830</v>
      </c>
      <c r="H159" s="1" t="str">
        <f>$H$69</f>
        <v>Debit</v>
      </c>
      <c r="I159" s="1" t="str">
        <f>$I$69</f>
        <v>Credit</v>
      </c>
      <c r="J159" s="1">
        <f>$J$69</f>
        <v>43830</v>
      </c>
      <c r="K159" s="64">
        <f>$K$69</f>
        <v>44196</v>
      </c>
      <c r="L159" s="1">
        <f>$L$69</f>
        <v>44561</v>
      </c>
      <c r="M159" s="1">
        <f>$M$69</f>
        <v>44926</v>
      </c>
      <c r="N159" s="1">
        <f>$N$69</f>
        <v>45291</v>
      </c>
      <c r="O159" s="1">
        <f>$O$69</f>
        <v>45657</v>
      </c>
    </row>
    <row r="160" spans="2:15" ht="15.75" customHeight="1" outlineLevel="1" x14ac:dyDescent="0.25">
      <c r="B160" s="9" t="s">
        <v>90</v>
      </c>
      <c r="C160" s="69"/>
      <c r="D160" s="9"/>
      <c r="E160" s="9" t="s">
        <v>91</v>
      </c>
      <c r="F160" s="9" t="s">
        <v>91</v>
      </c>
      <c r="G160" s="9" t="s">
        <v>91</v>
      </c>
      <c r="H160" s="99"/>
      <c r="I160" s="69"/>
      <c r="J160" s="100"/>
      <c r="K160" s="9" t="s">
        <v>91</v>
      </c>
      <c r="L160" s="9" t="s">
        <v>91</v>
      </c>
      <c r="M160" s="9" t="s">
        <v>91</v>
      </c>
      <c r="N160" s="9" t="s">
        <v>91</v>
      </c>
      <c r="O160" s="9" t="s">
        <v>91</v>
      </c>
    </row>
    <row r="161" spans="3:15" ht="15.75" customHeight="1" outlineLevel="1" x14ac:dyDescent="0.25">
      <c r="C161" s="3" t="s">
        <v>28</v>
      </c>
      <c r="D161" s="52" t="s">
        <v>152</v>
      </c>
      <c r="E161" s="65"/>
      <c r="F161" s="185">
        <f>F120</f>
        <v>11.205</v>
      </c>
      <c r="G161" s="185">
        <f>G120</f>
        <v>29.609212500000005</v>
      </c>
      <c r="H161" s="87"/>
      <c r="I161" s="88"/>
      <c r="J161" s="89"/>
      <c r="K161" s="65">
        <f>K120</f>
        <v>24.645950032071916</v>
      </c>
      <c r="L161" s="65">
        <f>L120</f>
        <v>36.300717613907572</v>
      </c>
      <c r="M161" s="65">
        <f>M120</f>
        <v>49.127977189325478</v>
      </c>
      <c r="N161" s="65">
        <f>N120</f>
        <v>58.07136905070206</v>
      </c>
      <c r="O161" s="65">
        <f>O120</f>
        <v>70.45764159271441</v>
      </c>
    </row>
    <row r="162" spans="3:15" ht="15.75" customHeight="1" outlineLevel="1" x14ac:dyDescent="0.25">
      <c r="C162" s="277" t="s">
        <v>83</v>
      </c>
      <c r="D162" s="52" t="s">
        <v>152</v>
      </c>
      <c r="E162" s="39"/>
      <c r="F162" s="21">
        <v>1</v>
      </c>
      <c r="G162" s="21">
        <v>1.5</v>
      </c>
      <c r="H162" s="235"/>
      <c r="I162" s="236"/>
      <c r="J162" s="237"/>
      <c r="K162" s="198">
        <f t="shared" ref="K162:O165" si="26">-K110</f>
        <v>3.6336093749999998</v>
      </c>
      <c r="L162" s="198">
        <f t="shared" si="26"/>
        <v>4.5042525000000007</v>
      </c>
      <c r="M162" s="198">
        <f t="shared" si="26"/>
        <v>4.8645009000000003</v>
      </c>
      <c r="N162" s="198">
        <f t="shared" si="26"/>
        <v>5.4766832697000005</v>
      </c>
      <c r="O162" s="198">
        <f t="shared" si="26"/>
        <v>6.1547035195701003</v>
      </c>
    </row>
    <row r="163" spans="3:15" ht="15.75" customHeight="1" outlineLevel="1" x14ac:dyDescent="0.25">
      <c r="C163" s="277" t="s">
        <v>84</v>
      </c>
      <c r="D163" s="52" t="s">
        <v>152</v>
      </c>
      <c r="E163" s="39"/>
      <c r="F163" s="21">
        <v>0</v>
      </c>
      <c r="G163" s="21">
        <v>0</v>
      </c>
      <c r="H163" s="101"/>
      <c r="I163" s="36"/>
      <c r="J163" s="102"/>
      <c r="K163" s="51">
        <f t="shared" si="26"/>
        <v>0</v>
      </c>
      <c r="L163" s="51">
        <f t="shared" si="26"/>
        <v>0</v>
      </c>
      <c r="M163" s="51">
        <f t="shared" si="26"/>
        <v>0</v>
      </c>
      <c r="N163" s="51">
        <f t="shared" si="26"/>
        <v>0</v>
      </c>
      <c r="O163" s="51">
        <f t="shared" si="26"/>
        <v>0</v>
      </c>
    </row>
    <row r="164" spans="3:15" ht="15.75" customHeight="1" outlineLevel="1" x14ac:dyDescent="0.25">
      <c r="C164" s="251" t="s">
        <v>85</v>
      </c>
      <c r="D164" s="176" t="s">
        <v>152</v>
      </c>
      <c r="E164" s="160"/>
      <c r="F164" s="120">
        <v>0</v>
      </c>
      <c r="G164" s="120">
        <v>0</v>
      </c>
      <c r="H164" s="162"/>
      <c r="I164" s="161"/>
      <c r="J164" s="163"/>
      <c r="K164" s="161">
        <f t="shared" si="26"/>
        <v>7.233777040570776</v>
      </c>
      <c r="L164" s="161">
        <f t="shared" si="26"/>
        <v>7.233777040570776</v>
      </c>
      <c r="M164" s="161">
        <f t="shared" si="26"/>
        <v>7.233777040570776</v>
      </c>
      <c r="N164" s="161">
        <f t="shared" si="26"/>
        <v>7.233777040570776</v>
      </c>
      <c r="O164" s="161">
        <f t="shared" si="26"/>
        <v>7.233777040570776</v>
      </c>
    </row>
    <row r="165" spans="3:15" ht="15.75" customHeight="1" outlineLevel="1" x14ac:dyDescent="0.25">
      <c r="C165" s="269" t="s">
        <v>148</v>
      </c>
      <c r="D165" s="177" t="s">
        <v>152</v>
      </c>
      <c r="E165" s="164"/>
      <c r="F165" s="121">
        <v>0</v>
      </c>
      <c r="G165" s="121">
        <v>0</v>
      </c>
      <c r="H165" s="157"/>
      <c r="I165" s="158"/>
      <c r="J165" s="159"/>
      <c r="K165" s="158">
        <f t="shared" si="26"/>
        <v>0.45</v>
      </c>
      <c r="L165" s="158">
        <f t="shared" si="26"/>
        <v>0.45</v>
      </c>
      <c r="M165" s="158">
        <f t="shared" si="26"/>
        <v>0.45</v>
      </c>
      <c r="N165" s="158">
        <f t="shared" si="26"/>
        <v>0.45</v>
      </c>
      <c r="O165" s="158">
        <f t="shared" si="26"/>
        <v>0.45</v>
      </c>
    </row>
    <row r="166" spans="3:15" ht="15.75" customHeight="1" outlineLevel="1" x14ac:dyDescent="0.25">
      <c r="C166" s="269" t="s">
        <v>40</v>
      </c>
      <c r="D166" s="177" t="s">
        <v>152</v>
      </c>
      <c r="E166" s="164"/>
      <c r="F166" s="121">
        <v>0</v>
      </c>
      <c r="G166" s="121">
        <v>0</v>
      </c>
      <c r="H166" s="157"/>
      <c r="I166" s="158"/>
      <c r="J166" s="159"/>
      <c r="K166" s="158">
        <f>K245</f>
        <v>2.3804250000000002</v>
      </c>
      <c r="L166" s="158">
        <f>L245</f>
        <v>2.4518377500000001</v>
      </c>
      <c r="M166" s="158">
        <f>M245</f>
        <v>2.5253928825000003</v>
      </c>
      <c r="N166" s="158">
        <f>N245</f>
        <v>2.601154668975</v>
      </c>
      <c r="O166" s="158">
        <f>O245</f>
        <v>2.6791893090442502</v>
      </c>
    </row>
    <row r="167" spans="3:15" ht="15.75" customHeight="1" outlineLevel="1" x14ac:dyDescent="0.25">
      <c r="C167" s="273" t="s">
        <v>163</v>
      </c>
      <c r="D167" s="178" t="s">
        <v>152</v>
      </c>
      <c r="E167" s="165"/>
      <c r="F167" s="122">
        <v>0</v>
      </c>
      <c r="G167" s="122">
        <v>0</v>
      </c>
      <c r="H167" s="167"/>
      <c r="I167" s="166"/>
      <c r="J167" s="168"/>
      <c r="K167" s="166">
        <f>-(K164+K165)*Tax_Rate</f>
        <v>-1.920944260142694</v>
      </c>
      <c r="L167" s="166">
        <f>-(L164+L165)*Tax_Rate</f>
        <v>-1.920944260142694</v>
      </c>
      <c r="M167" s="166">
        <f>-(M164+M165)*Tax_Rate</f>
        <v>-1.920944260142694</v>
      </c>
      <c r="N167" s="166">
        <f>-(N164+N165)*Tax_Rate</f>
        <v>-1.920944260142694</v>
      </c>
      <c r="O167" s="166">
        <f>-(O164+O165)*Tax_Rate</f>
        <v>-1.920944260142694</v>
      </c>
    </row>
    <row r="168" spans="3:15" ht="15.75" customHeight="1" outlineLevel="1" x14ac:dyDescent="0.25">
      <c r="C168" s="278" t="s">
        <v>86</v>
      </c>
      <c r="D168" s="52" t="s">
        <v>152</v>
      </c>
      <c r="E168" s="39"/>
      <c r="F168" s="21">
        <v>0.27540000000000003</v>
      </c>
      <c r="G168" s="21">
        <v>0.78838987500000013</v>
      </c>
      <c r="H168" s="235"/>
      <c r="I168" s="236"/>
      <c r="J168" s="237"/>
      <c r="K168" s="198">
        <f>-K119*K98</f>
        <v>1.1501443348300229</v>
      </c>
      <c r="L168" s="198">
        <f>-L119*L98</f>
        <v>1.8150358806953784</v>
      </c>
      <c r="M168" s="198">
        <f>-M119*M98</f>
        <v>2.4563988594662738</v>
      </c>
      <c r="N168" s="198">
        <f>-N119*N98</f>
        <v>3.09713968270411</v>
      </c>
      <c r="O168" s="198">
        <f>-O119*O98</f>
        <v>3.7577408849447687</v>
      </c>
    </row>
    <row r="169" spans="3:15" ht="15.75" customHeight="1" outlineLevel="1" x14ac:dyDescent="0.25">
      <c r="C169" s="62" t="s">
        <v>87</v>
      </c>
      <c r="E169" s="39"/>
      <c r="F169" s="21"/>
      <c r="G169" s="21"/>
      <c r="H169" s="235"/>
      <c r="I169" s="236"/>
      <c r="J169" s="237"/>
      <c r="K169" s="198"/>
      <c r="L169" s="198"/>
      <c r="M169" s="198"/>
      <c r="N169" s="198"/>
      <c r="O169" s="198"/>
    </row>
    <row r="170" spans="3:15" ht="15.75" customHeight="1" outlineLevel="1" x14ac:dyDescent="0.25">
      <c r="C170" s="277" t="s">
        <v>60</v>
      </c>
      <c r="D170" s="52" t="s">
        <v>152</v>
      </c>
      <c r="E170" s="39"/>
      <c r="F170" s="21">
        <v>-12.328767123287671</v>
      </c>
      <c r="G170" s="21">
        <v>-9.6986301369863011</v>
      </c>
      <c r="H170" s="235"/>
      <c r="I170" s="236"/>
      <c r="J170" s="237"/>
      <c r="K170" s="198">
        <f t="shared" ref="K170:O171" si="27">J127-K127</f>
        <v>-7.7562861413653721</v>
      </c>
      <c r="L170" s="198">
        <f t="shared" si="27"/>
        <v>-9.4812823517853175</v>
      </c>
      <c r="M170" s="198">
        <f t="shared" si="27"/>
        <v>-10.046413232876709</v>
      </c>
      <c r="N170" s="198">
        <f t="shared" si="27"/>
        <v>-9.2066066351506919</v>
      </c>
      <c r="O170" s="198">
        <f t="shared" si="27"/>
        <v>-8.7465337181118699</v>
      </c>
    </row>
    <row r="171" spans="3:15" ht="15.75" customHeight="1" outlineLevel="1" x14ac:dyDescent="0.25">
      <c r="C171" s="277" t="s">
        <v>62</v>
      </c>
      <c r="D171" s="52" t="s">
        <v>152</v>
      </c>
      <c r="E171" s="39"/>
      <c r="F171" s="21">
        <v>-4.1095890410958908</v>
      </c>
      <c r="G171" s="21">
        <v>-2.0547945205479445</v>
      </c>
      <c r="H171" s="235"/>
      <c r="I171" s="236"/>
      <c r="J171" s="237"/>
      <c r="K171" s="198">
        <f t="shared" si="27"/>
        <v>-1.458807396347968</v>
      </c>
      <c r="L171" s="198">
        <f t="shared" si="27"/>
        <v>-1.513160583104086</v>
      </c>
      <c r="M171" s="198">
        <f t="shared" si="27"/>
        <v>-1.2420053630136998</v>
      </c>
      <c r="N171" s="198">
        <f t="shared" si="27"/>
        <v>-0.94918505359315297</v>
      </c>
      <c r="O171" s="198">
        <f t="shared" si="27"/>
        <v>-0.88518194769726932</v>
      </c>
    </row>
    <row r="172" spans="3:15" ht="15.75" customHeight="1" outlineLevel="1" x14ac:dyDescent="0.25">
      <c r="C172" s="279" t="s">
        <v>66</v>
      </c>
      <c r="D172" s="52" t="s">
        <v>152</v>
      </c>
      <c r="E172" s="39"/>
      <c r="F172" s="21">
        <v>-7.5</v>
      </c>
      <c r="G172" s="21">
        <v>-5.0625</v>
      </c>
      <c r="H172" s="235"/>
      <c r="I172" s="236"/>
      <c r="J172" s="237"/>
      <c r="K172" s="198">
        <f>J135-K135</f>
        <v>-3.9539062499999993</v>
      </c>
      <c r="L172" s="198">
        <f>K135-L135</f>
        <v>-3.9574687500000074</v>
      </c>
      <c r="M172" s="198">
        <f>L135-M135</f>
        <v>-3.8486294999999942</v>
      </c>
      <c r="N172" s="198">
        <f>M135-N135</f>
        <v>-3.0609118485000053</v>
      </c>
      <c r="O172" s="198">
        <f>N135-O135</f>
        <v>-3.3901012493504972</v>
      </c>
    </row>
    <row r="173" spans="3:15" ht="15.75" customHeight="1" outlineLevel="1" x14ac:dyDescent="0.25">
      <c r="C173" s="277" t="s">
        <v>70</v>
      </c>
      <c r="D173" s="52" t="s">
        <v>152</v>
      </c>
      <c r="E173" s="39"/>
      <c r="F173" s="21">
        <v>4.1095890410958908</v>
      </c>
      <c r="G173" s="21">
        <v>2.3630136986301364</v>
      </c>
      <c r="H173" s="235"/>
      <c r="I173" s="236"/>
      <c r="J173" s="237"/>
      <c r="K173" s="198">
        <f t="shared" ref="K173:O174" si="28">K142-J142</f>
        <v>1.8824145502329879</v>
      </c>
      <c r="L173" s="198">
        <f t="shared" si="28"/>
        <v>1.969802744287561</v>
      </c>
      <c r="M173" s="198">
        <f t="shared" si="28"/>
        <v>1.8697493280821913</v>
      </c>
      <c r="N173" s="198">
        <f t="shared" si="28"/>
        <v>1.5328755525143869</v>
      </c>
      <c r="O173" s="198">
        <f t="shared" si="28"/>
        <v>1.6712069658786017</v>
      </c>
    </row>
    <row r="174" spans="3:15" ht="15.75" customHeight="1" outlineLevel="1" x14ac:dyDescent="0.25">
      <c r="C174" s="277" t="s">
        <v>71</v>
      </c>
      <c r="D174" s="52" t="s">
        <v>152</v>
      </c>
      <c r="E174" s="39"/>
      <c r="F174" s="21">
        <v>0.22950000000000004</v>
      </c>
      <c r="G174" s="21">
        <v>0.37695375000000009</v>
      </c>
      <c r="H174" s="235"/>
      <c r="I174" s="236"/>
      <c r="J174" s="237"/>
      <c r="K174" s="198">
        <f t="shared" si="28"/>
        <v>0.29723108450930358</v>
      </c>
      <c r="L174" s="198">
        <f t="shared" si="28"/>
        <v>0.42734147800064048</v>
      </c>
      <c r="M174" s="198">
        <f t="shared" si="28"/>
        <v>0.63409277506307493</v>
      </c>
      <c r="N174" s="198">
        <f t="shared" si="28"/>
        <v>0.35773567445506327</v>
      </c>
      <c r="O174" s="198">
        <f t="shared" si="28"/>
        <v>0.49545090168049422</v>
      </c>
    </row>
    <row r="175" spans="3:15" ht="15.75" customHeight="1" outlineLevel="1" x14ac:dyDescent="0.25">
      <c r="C175" s="280" t="s">
        <v>74</v>
      </c>
      <c r="D175" s="49" t="s">
        <v>152</v>
      </c>
      <c r="E175" s="80"/>
      <c r="F175" s="77">
        <v>1.4350000000000001</v>
      </c>
      <c r="G175" s="77">
        <v>1.1034625</v>
      </c>
      <c r="H175" s="239"/>
      <c r="I175" s="240"/>
      <c r="J175" s="241"/>
      <c r="K175" s="240">
        <f>K149-J149</f>
        <v>1.4336762499999995</v>
      </c>
      <c r="L175" s="240">
        <f>L149-K149</f>
        <v>1.2270555642857164</v>
      </c>
      <c r="M175" s="240">
        <f>M149-L149</f>
        <v>2.0505335270142835</v>
      </c>
      <c r="N175" s="240">
        <f>N149-M149</f>
        <v>1.3760483084775013</v>
      </c>
      <c r="O175" s="240">
        <f>O149-N149</f>
        <v>1.2809293230689871</v>
      </c>
    </row>
    <row r="176" spans="3:15" ht="15.75" customHeight="1" outlineLevel="1" x14ac:dyDescent="0.25">
      <c r="C176" s="62" t="s">
        <v>88</v>
      </c>
      <c r="D176" s="52" t="s">
        <v>152</v>
      </c>
      <c r="E176" s="39"/>
      <c r="F176" s="39">
        <f>SUM(F161:F175)</f>
        <v>-5.683867123287671</v>
      </c>
      <c r="G176" s="39">
        <f>SUM(G161:G175)</f>
        <v>18.925107666095894</v>
      </c>
      <c r="H176" s="85"/>
      <c r="I176" s="71"/>
      <c r="J176" s="86"/>
      <c r="K176" s="39">
        <f>SUM(K161:K175)</f>
        <v>28.017283619358977</v>
      </c>
      <c r="L176" s="39">
        <f t="shared" ref="L176:O176" si="29">SUM(L161:L175)</f>
        <v>39.506964626715536</v>
      </c>
      <c r="M176" s="39">
        <f t="shared" si="29"/>
        <v>54.154430145988982</v>
      </c>
      <c r="N176" s="39">
        <f t="shared" si="29"/>
        <v>65.059135450712361</v>
      </c>
      <c r="O176" s="39">
        <f t="shared" si="29"/>
        <v>79.237878362170065</v>
      </c>
    </row>
    <row r="177" spans="2:15" ht="15.75" customHeight="1" outlineLevel="1" x14ac:dyDescent="0.25">
      <c r="C177" s="3"/>
      <c r="E177" s="24"/>
      <c r="F177" s="24"/>
      <c r="G177" s="25"/>
      <c r="H177" s="103"/>
      <c r="I177" s="25"/>
      <c r="J177" s="104"/>
      <c r="K177" s="24"/>
      <c r="L177" s="24"/>
      <c r="M177" s="24"/>
      <c r="N177" s="24"/>
      <c r="O177" s="24"/>
    </row>
    <row r="178" spans="2:15" ht="15.75" customHeight="1" outlineLevel="1" x14ac:dyDescent="0.25">
      <c r="B178" s="9" t="s">
        <v>89</v>
      </c>
      <c r="C178" s="9"/>
      <c r="D178" s="9"/>
      <c r="E178" s="9"/>
      <c r="F178" s="9"/>
      <c r="G178" s="9"/>
      <c r="H178" s="105"/>
      <c r="I178" s="9"/>
      <c r="J178" s="106"/>
      <c r="K178" s="9"/>
      <c r="L178" s="9"/>
      <c r="M178" s="9"/>
      <c r="N178" s="9"/>
      <c r="O178" s="9"/>
    </row>
    <row r="179" spans="2:15" ht="15.75" customHeight="1" outlineLevel="1" x14ac:dyDescent="0.25">
      <c r="C179" s="279" t="s">
        <v>31</v>
      </c>
      <c r="D179" s="49" t="s">
        <v>152</v>
      </c>
      <c r="E179" s="39"/>
      <c r="F179" s="21">
        <v>-2</v>
      </c>
      <c r="G179" s="21">
        <v>-3</v>
      </c>
      <c r="H179" s="235"/>
      <c r="I179" s="236"/>
      <c r="J179" s="237"/>
      <c r="K179" s="198">
        <f>-K91</f>
        <v>-6.6065624999999999</v>
      </c>
      <c r="L179" s="198">
        <f>-L91</f>
        <v>-7.7800725000000011</v>
      </c>
      <c r="M179" s="198">
        <f>-M91</f>
        <v>-9.242551709999999</v>
      </c>
      <c r="N179" s="198">
        <f>-N91</f>
        <v>-9.8580298854600006</v>
      </c>
      <c r="O179" s="198">
        <f>-O91</f>
        <v>-11.07846633522618</v>
      </c>
    </row>
    <row r="180" spans="2:15" ht="15.75" customHeight="1" outlineLevel="1" x14ac:dyDescent="0.25">
      <c r="C180" s="34" t="s">
        <v>92</v>
      </c>
      <c r="D180" s="52" t="s">
        <v>152</v>
      </c>
      <c r="E180" s="35"/>
      <c r="F180" s="35">
        <f>SUM(F179)</f>
        <v>-2</v>
      </c>
      <c r="G180" s="35">
        <f t="shared" ref="G180" si="30">SUM(G179)</f>
        <v>-3</v>
      </c>
      <c r="H180" s="83"/>
      <c r="I180" s="35"/>
      <c r="J180" s="84"/>
      <c r="K180" s="35">
        <f>SUM(K179)</f>
        <v>-6.6065624999999999</v>
      </c>
      <c r="L180" s="35">
        <f t="shared" ref="L180:O180" si="31">SUM(L179)</f>
        <v>-7.7800725000000011</v>
      </c>
      <c r="M180" s="35">
        <f t="shared" si="31"/>
        <v>-9.242551709999999</v>
      </c>
      <c r="N180" s="35">
        <f t="shared" si="31"/>
        <v>-9.8580298854600006</v>
      </c>
      <c r="O180" s="35">
        <f t="shared" si="31"/>
        <v>-11.07846633522618</v>
      </c>
    </row>
    <row r="181" spans="2:15" ht="15.75" customHeight="1" outlineLevel="1" x14ac:dyDescent="0.25">
      <c r="C181" s="3"/>
      <c r="E181" s="24"/>
      <c r="F181" s="24"/>
      <c r="G181" s="25"/>
      <c r="H181" s="103"/>
      <c r="I181" s="25"/>
      <c r="J181" s="104"/>
      <c r="K181" s="24"/>
      <c r="L181" s="24"/>
      <c r="M181" s="24"/>
      <c r="N181" s="24"/>
      <c r="O181" s="24"/>
    </row>
    <row r="182" spans="2:15" ht="15.75" customHeight="1" outlineLevel="1" x14ac:dyDescent="0.25">
      <c r="C182" s="3" t="s">
        <v>134</v>
      </c>
      <c r="D182" s="52" t="s">
        <v>152</v>
      </c>
      <c r="E182" s="39"/>
      <c r="F182" s="39">
        <f>F176+F180</f>
        <v>-7.683867123287671</v>
      </c>
      <c r="G182" s="39">
        <f>G176+G180</f>
        <v>15.925107666095894</v>
      </c>
      <c r="H182" s="85"/>
      <c r="I182" s="71"/>
      <c r="J182" s="86"/>
      <c r="K182" s="39">
        <f>K176+K180</f>
        <v>21.410721119358978</v>
      </c>
      <c r="L182" s="39">
        <f>L176+L180</f>
        <v>31.726892126715533</v>
      </c>
      <c r="M182" s="39">
        <f>M176+M180</f>
        <v>44.911878435988982</v>
      </c>
      <c r="N182" s="39">
        <f>N176+N180</f>
        <v>55.201105565252362</v>
      </c>
      <c r="O182" s="39">
        <f>O176+O180</f>
        <v>68.159412026943883</v>
      </c>
    </row>
    <row r="183" spans="2:15" ht="15.75" customHeight="1" outlineLevel="1" x14ac:dyDescent="0.25">
      <c r="C183" s="3"/>
      <c r="E183" s="24"/>
      <c r="F183" s="24"/>
      <c r="G183" s="24"/>
      <c r="H183" s="103"/>
      <c r="I183" s="25"/>
      <c r="J183" s="104"/>
      <c r="K183" s="24"/>
      <c r="L183" s="24"/>
      <c r="M183" s="24"/>
      <c r="N183" s="24"/>
      <c r="O183" s="24"/>
    </row>
    <row r="184" spans="2:15" ht="15.75" customHeight="1" outlineLevel="1" x14ac:dyDescent="0.25">
      <c r="C184" s="3" t="s">
        <v>33</v>
      </c>
      <c r="D184" s="52" t="s">
        <v>152</v>
      </c>
      <c r="E184" s="39"/>
      <c r="F184" s="39">
        <f>E188</f>
        <v>80</v>
      </c>
      <c r="G184" s="39">
        <f>F188</f>
        <v>72.316132876712331</v>
      </c>
      <c r="H184" s="85"/>
      <c r="I184" s="71"/>
      <c r="J184" s="86"/>
      <c r="K184" s="39">
        <f>J126</f>
        <v>20</v>
      </c>
      <c r="L184" s="39">
        <f>K126</f>
        <v>24.754298059679492</v>
      </c>
      <c r="M184" s="39">
        <f>L126</f>
        <v>32.289532593197514</v>
      </c>
      <c r="N184" s="39">
        <f>M126</f>
        <v>42.649643014593245</v>
      </c>
      <c r="O184" s="39">
        <f>N126</f>
        <v>54.229347247315843</v>
      </c>
    </row>
    <row r="185" spans="2:15" ht="15.75" customHeight="1" outlineLevel="1" x14ac:dyDescent="0.25">
      <c r="C185" s="202" t="s">
        <v>42</v>
      </c>
      <c r="D185" s="52" t="s">
        <v>152</v>
      </c>
      <c r="E185" s="198"/>
      <c r="F185" s="198">
        <f>F182</f>
        <v>-7.683867123287671</v>
      </c>
      <c r="G185" s="198">
        <f>G182</f>
        <v>15.925107666095894</v>
      </c>
      <c r="H185" s="235"/>
      <c r="I185" s="236"/>
      <c r="J185" s="237"/>
      <c r="K185" s="198">
        <f>K182</f>
        <v>21.410721119358978</v>
      </c>
      <c r="L185" s="198">
        <f>L182</f>
        <v>31.726892126715533</v>
      </c>
      <c r="M185" s="198">
        <f>M182</f>
        <v>44.911878435988982</v>
      </c>
      <c r="N185" s="198">
        <f>N182</f>
        <v>55.201105565252362</v>
      </c>
      <c r="O185" s="198">
        <f>O182</f>
        <v>68.159412026943883</v>
      </c>
    </row>
    <row r="186" spans="2:15" ht="15.75" customHeight="1" outlineLevel="1" x14ac:dyDescent="0.25">
      <c r="C186" s="202" t="s">
        <v>138</v>
      </c>
      <c r="D186" s="52" t="s">
        <v>152</v>
      </c>
      <c r="E186" s="198"/>
      <c r="F186" s="92">
        <v>0</v>
      </c>
      <c r="G186" s="107">
        <v>0</v>
      </c>
      <c r="H186" s="236"/>
      <c r="I186" s="236"/>
      <c r="J186" s="237"/>
      <c r="K186" s="198">
        <f>K212</f>
        <v>-11.902125000000002</v>
      </c>
      <c r="L186" s="198">
        <f>L212</f>
        <v>-11.902125000000002</v>
      </c>
      <c r="M186" s="198">
        <f>M212</f>
        <v>-11.902125000000002</v>
      </c>
      <c r="N186" s="198">
        <f>N212</f>
        <v>-11.902125000000002</v>
      </c>
      <c r="O186" s="198">
        <f>O212</f>
        <v>0</v>
      </c>
    </row>
    <row r="187" spans="2:15" ht="15.75" customHeight="1" outlineLevel="1" x14ac:dyDescent="0.25">
      <c r="C187" s="202" t="s">
        <v>140</v>
      </c>
      <c r="D187" s="49" t="s">
        <v>152</v>
      </c>
      <c r="E187" s="240"/>
      <c r="F187" s="186">
        <v>0</v>
      </c>
      <c r="G187" s="187">
        <v>0</v>
      </c>
      <c r="H187" s="92"/>
      <c r="I187" s="92"/>
      <c r="J187" s="107"/>
      <c r="K187" s="198">
        <f>K215+K217+K219+K221</f>
        <v>-4.7542980596794902</v>
      </c>
      <c r="L187" s="198">
        <f>L215+L217+L219+L221</f>
        <v>-12.289532593197514</v>
      </c>
      <c r="M187" s="198">
        <f>M215+M217+M219+M221</f>
        <v>-22.649643014593245</v>
      </c>
      <c r="N187" s="198">
        <f>N215+N217+N219+N221</f>
        <v>-31.719276332529763</v>
      </c>
      <c r="O187" s="198">
        <f>O215+O217+O219+O221</f>
        <v>-91.985499610519255</v>
      </c>
    </row>
    <row r="188" spans="2:15" ht="15.75" customHeight="1" outlineLevel="1" x14ac:dyDescent="0.25">
      <c r="C188" s="34" t="s">
        <v>34</v>
      </c>
      <c r="D188" s="52" t="s">
        <v>152</v>
      </c>
      <c r="E188" s="88">
        <f>E126</f>
        <v>80</v>
      </c>
      <c r="F188" s="88">
        <f>SUM(F184:F187)</f>
        <v>72.316132876712331</v>
      </c>
      <c r="G188" s="88">
        <f>SUM(G184:G187)</f>
        <v>88.241240542808228</v>
      </c>
      <c r="H188" s="108"/>
      <c r="I188" s="66"/>
      <c r="J188" s="109"/>
      <c r="K188" s="66">
        <f>SUM(K184:K187)</f>
        <v>24.754298059679492</v>
      </c>
      <c r="L188" s="66">
        <f>SUM(L184:L187)</f>
        <v>32.289532593197514</v>
      </c>
      <c r="M188" s="66">
        <f>SUM(M184:M187)</f>
        <v>42.649643014593245</v>
      </c>
      <c r="N188" s="66">
        <f>SUM(N184:N187)</f>
        <v>54.229347247315843</v>
      </c>
      <c r="O188" s="66">
        <f>SUM(O184:O187)</f>
        <v>30.403259663740471</v>
      </c>
    </row>
    <row r="189" spans="2:15" ht="15.75" customHeight="1" x14ac:dyDescent="0.25">
      <c r="C189" s="3"/>
      <c r="G189" s="212"/>
      <c r="H189" s="212"/>
      <c r="I189" s="212"/>
      <c r="J189" s="212"/>
      <c r="K189" s="198"/>
      <c r="L189" s="198"/>
      <c r="M189" s="198"/>
      <c r="N189" s="198"/>
      <c r="O189" s="198"/>
    </row>
    <row r="190" spans="2:15" ht="15.75" customHeight="1" x14ac:dyDescent="0.25">
      <c r="B190" s="26"/>
      <c r="C190" s="27"/>
      <c r="D190" s="14"/>
      <c r="E190" s="15" t="str">
        <f>$E$68</f>
        <v>Historical</v>
      </c>
      <c r="F190" s="16"/>
      <c r="G190" s="16"/>
      <c r="H190" s="17" t="str">
        <f>$H$68</f>
        <v>Transaction Adjustments:</v>
      </c>
      <c r="I190" s="16"/>
      <c r="J190" s="16"/>
      <c r="K190" s="17" t="str">
        <f>$K$68</f>
        <v>Projected</v>
      </c>
      <c r="L190" s="18"/>
      <c r="M190" s="16"/>
      <c r="N190" s="16"/>
      <c r="O190" s="16"/>
    </row>
    <row r="191" spans="2:15" ht="15.75" customHeight="1" x14ac:dyDescent="0.25">
      <c r="B191" s="4" t="s">
        <v>5</v>
      </c>
      <c r="C191" s="5"/>
      <c r="D191" s="38" t="str">
        <f>$D$69</f>
        <v>Units:</v>
      </c>
      <c r="E191" s="1">
        <f>$E$69</f>
        <v>43100</v>
      </c>
      <c r="F191" s="1">
        <f>$F$69</f>
        <v>43465</v>
      </c>
      <c r="G191" s="2">
        <f>$G$69</f>
        <v>43830</v>
      </c>
      <c r="H191" s="1" t="str">
        <f>$H$69</f>
        <v>Debit</v>
      </c>
      <c r="I191" s="1" t="str">
        <f>$I$69</f>
        <v>Credit</v>
      </c>
      <c r="J191" s="1">
        <f>$J$69</f>
        <v>43830</v>
      </c>
      <c r="K191" s="64">
        <f>$K$69</f>
        <v>44196</v>
      </c>
      <c r="L191" s="1">
        <f>$L$69</f>
        <v>44561</v>
      </c>
      <c r="M191" s="1">
        <f>$M$69</f>
        <v>44926</v>
      </c>
      <c r="N191" s="1">
        <f>$N$69</f>
        <v>45291</v>
      </c>
      <c r="O191" s="1">
        <f>$O$69</f>
        <v>45657</v>
      </c>
    </row>
    <row r="192" spans="2:15" ht="15.75" customHeight="1" outlineLevel="1" x14ac:dyDescent="0.25">
      <c r="B192" s="40"/>
      <c r="C192" s="41"/>
      <c r="D192" s="42"/>
      <c r="E192" s="43"/>
      <c r="F192" s="43"/>
      <c r="G192" s="43"/>
      <c r="H192" s="137"/>
      <c r="I192" s="138"/>
      <c r="J192" s="139"/>
      <c r="K192" s="43"/>
      <c r="L192" s="43"/>
      <c r="M192" s="43"/>
      <c r="N192" s="43"/>
      <c r="O192" s="43"/>
    </row>
    <row r="193" spans="2:15" ht="15.75" hidden="1" customHeight="1" outlineLevel="2" x14ac:dyDescent="0.25">
      <c r="B193" s="40"/>
      <c r="C193" s="45" t="s">
        <v>39</v>
      </c>
      <c r="D193" s="50" t="s">
        <v>35</v>
      </c>
      <c r="E193" s="43"/>
      <c r="F193" s="43"/>
      <c r="G193" s="43"/>
      <c r="H193" s="140"/>
      <c r="I193" s="43"/>
      <c r="J193" s="141"/>
      <c r="K193" s="46">
        <v>1.2E-2</v>
      </c>
      <c r="L193" s="46">
        <v>1.4999999999999999E-2</v>
      </c>
      <c r="M193" s="46">
        <v>1.7999999999999999E-2</v>
      </c>
      <c r="N193" s="46">
        <v>0.02</v>
      </c>
      <c r="O193" s="46">
        <v>2.1999999999999999E-2</v>
      </c>
    </row>
    <row r="194" spans="2:15" ht="15.75" hidden="1" customHeight="1" outlineLevel="2" x14ac:dyDescent="0.25">
      <c r="B194" s="40"/>
      <c r="C194" s="41"/>
      <c r="D194" s="42"/>
      <c r="E194" s="43"/>
      <c r="F194" s="43"/>
      <c r="G194" s="43"/>
      <c r="H194" s="140"/>
      <c r="I194" s="43"/>
      <c r="J194" s="141"/>
      <c r="K194" s="43"/>
      <c r="L194" s="43"/>
      <c r="M194" s="43"/>
      <c r="N194" s="43"/>
      <c r="O194" s="43"/>
    </row>
    <row r="195" spans="2:15" ht="15.75" hidden="1" customHeight="1" outlineLevel="2" x14ac:dyDescent="0.25">
      <c r="B195" s="40"/>
      <c r="C195" s="30"/>
      <c r="D195" s="30" t="s">
        <v>15</v>
      </c>
      <c r="E195" s="30" t="s">
        <v>15</v>
      </c>
      <c r="F195" s="30" t="s">
        <v>38</v>
      </c>
      <c r="G195" s="30" t="s">
        <v>10</v>
      </c>
      <c r="H195" s="142"/>
      <c r="I195" s="30"/>
      <c r="J195" s="143"/>
      <c r="K195" s="30"/>
      <c r="L195" s="30"/>
      <c r="M195" s="30"/>
      <c r="N195" s="30"/>
      <c r="O195" s="30"/>
    </row>
    <row r="196" spans="2:15" ht="15.75" hidden="1" customHeight="1" outlineLevel="2" x14ac:dyDescent="0.25">
      <c r="B196" s="40"/>
      <c r="C196" s="135" t="s">
        <v>142</v>
      </c>
      <c r="D196" s="31" t="s">
        <v>37</v>
      </c>
      <c r="E196" s="31" t="s">
        <v>16</v>
      </c>
      <c r="F196" s="31" t="s">
        <v>14</v>
      </c>
      <c r="G196" s="31" t="s">
        <v>17</v>
      </c>
      <c r="H196" s="144"/>
      <c r="I196" s="31"/>
      <c r="J196" s="145"/>
      <c r="K196" s="31"/>
      <c r="L196" s="31"/>
      <c r="M196" s="31"/>
      <c r="N196" s="31"/>
      <c r="O196" s="31"/>
    </row>
    <row r="197" spans="2:15" ht="15.75" hidden="1" customHeight="1" outlineLevel="2" x14ac:dyDescent="0.25">
      <c r="B197" s="40"/>
      <c r="C197" s="136" t="str">
        <f>$C$47</f>
        <v>Revolver:</v>
      </c>
      <c r="D197" s="173">
        <f t="shared" ref="D197:E199" si="32">D47</f>
        <v>1.4999999999999999E-2</v>
      </c>
      <c r="E197" s="173">
        <f t="shared" si="32"/>
        <v>2.5000000000000001E-2</v>
      </c>
      <c r="F197" s="171"/>
      <c r="G197" s="171"/>
      <c r="H197" s="140"/>
      <c r="I197" s="43"/>
      <c r="J197" s="141"/>
      <c r="K197" s="170">
        <f t="shared" ref="K197:O199" si="33">MAX($D197,K$193)+$E197</f>
        <v>0.04</v>
      </c>
      <c r="L197" s="170">
        <f t="shared" si="33"/>
        <v>0.04</v>
      </c>
      <c r="M197" s="170">
        <f t="shared" si="33"/>
        <v>4.2999999999999997E-2</v>
      </c>
      <c r="N197" s="170">
        <f t="shared" si="33"/>
        <v>4.4999999999999998E-2</v>
      </c>
      <c r="O197" s="170">
        <f t="shared" si="33"/>
        <v>4.7E-2</v>
      </c>
    </row>
    <row r="198" spans="2:15" ht="15.75" hidden="1" customHeight="1" outlineLevel="2" x14ac:dyDescent="0.25">
      <c r="B198" s="40"/>
      <c r="C198" s="136" t="str">
        <f>$C$48</f>
        <v>Existing Debt:</v>
      </c>
      <c r="D198" s="173">
        <f t="shared" si="32"/>
        <v>1.4999999999999999E-2</v>
      </c>
      <c r="E198" s="173">
        <f t="shared" si="32"/>
        <v>2.75E-2</v>
      </c>
      <c r="F198" s="171"/>
      <c r="G198" s="171"/>
      <c r="H198" s="140"/>
      <c r="I198" s="43"/>
      <c r="J198" s="141"/>
      <c r="K198" s="170">
        <f t="shared" si="33"/>
        <v>4.2499999999999996E-2</v>
      </c>
      <c r="L198" s="170">
        <f t="shared" si="33"/>
        <v>4.2499999999999996E-2</v>
      </c>
      <c r="M198" s="170">
        <f t="shared" si="33"/>
        <v>4.5499999999999999E-2</v>
      </c>
      <c r="N198" s="170">
        <f t="shared" si="33"/>
        <v>4.7500000000000001E-2</v>
      </c>
      <c r="O198" s="170">
        <f t="shared" si="33"/>
        <v>4.9500000000000002E-2</v>
      </c>
    </row>
    <row r="199" spans="2:15" ht="15.75" hidden="1" customHeight="1" outlineLevel="2" x14ac:dyDescent="0.25">
      <c r="B199" s="40"/>
      <c r="C199" s="136" t="str">
        <f>$C$49</f>
        <v>Term Loans:</v>
      </c>
      <c r="D199" s="173">
        <f t="shared" si="32"/>
        <v>1.4999999999999999E-2</v>
      </c>
      <c r="E199" s="173">
        <f t="shared" si="32"/>
        <v>0.03</v>
      </c>
      <c r="F199" s="171"/>
      <c r="G199" s="171"/>
      <c r="H199" s="140"/>
      <c r="I199" s="43"/>
      <c r="J199" s="141"/>
      <c r="K199" s="170">
        <f t="shared" si="33"/>
        <v>4.4999999999999998E-2</v>
      </c>
      <c r="L199" s="170">
        <f t="shared" si="33"/>
        <v>4.4999999999999998E-2</v>
      </c>
      <c r="M199" s="170">
        <f t="shared" si="33"/>
        <v>4.8000000000000001E-2</v>
      </c>
      <c r="N199" s="170">
        <f t="shared" si="33"/>
        <v>0.05</v>
      </c>
      <c r="O199" s="170">
        <f t="shared" si="33"/>
        <v>5.1999999999999998E-2</v>
      </c>
    </row>
    <row r="200" spans="2:15" ht="15.75" hidden="1" customHeight="1" outlineLevel="2" x14ac:dyDescent="0.25">
      <c r="B200" s="40"/>
      <c r="C200" s="136" t="str">
        <f>$C$50</f>
        <v>Subordinated Notes:</v>
      </c>
      <c r="D200" s="171"/>
      <c r="E200" s="171"/>
      <c r="F200" s="173">
        <f>F50</f>
        <v>7.0000000000000007E-2</v>
      </c>
      <c r="G200" s="173">
        <f>G50</f>
        <v>0.03</v>
      </c>
      <c r="H200" s="140"/>
      <c r="I200" s="43"/>
      <c r="J200" s="141"/>
      <c r="K200" s="170">
        <f>$F200+$G200</f>
        <v>0.1</v>
      </c>
      <c r="L200" s="170">
        <f>$F200+$G200</f>
        <v>0.1</v>
      </c>
      <c r="M200" s="170">
        <f>$F200+$G200</f>
        <v>0.1</v>
      </c>
      <c r="N200" s="170">
        <f>$F200+$G200</f>
        <v>0.1</v>
      </c>
      <c r="O200" s="170">
        <f>$F200+$G200</f>
        <v>0.1</v>
      </c>
    </row>
    <row r="201" spans="2:15" ht="15.75" hidden="1" customHeight="1" outlineLevel="2" x14ac:dyDescent="0.25">
      <c r="B201" s="40"/>
      <c r="C201" s="45"/>
      <c r="D201" s="42"/>
      <c r="E201" s="43"/>
      <c r="F201" s="43"/>
      <c r="G201" s="43"/>
      <c r="H201" s="140"/>
      <c r="I201" s="43"/>
      <c r="J201" s="141"/>
      <c r="K201" s="43"/>
      <c r="L201" s="43"/>
      <c r="M201" s="43"/>
      <c r="N201" s="43"/>
      <c r="O201" s="43"/>
    </row>
    <row r="202" spans="2:15" ht="15.75" hidden="1" customHeight="1" outlineLevel="2" x14ac:dyDescent="0.25">
      <c r="B202" s="40"/>
      <c r="C202" s="135" t="s">
        <v>143</v>
      </c>
      <c r="D202" s="135"/>
      <c r="E202" s="135"/>
      <c r="F202" s="135"/>
      <c r="G202" s="135"/>
      <c r="H202" s="146"/>
      <c r="I202" s="135"/>
      <c r="J202" s="147"/>
      <c r="K202" s="135"/>
      <c r="L202" s="135"/>
      <c r="M202" s="135"/>
      <c r="N202" s="135"/>
      <c r="O202" s="135"/>
    </row>
    <row r="203" spans="2:15" ht="15.75" hidden="1" customHeight="1" outlineLevel="2" x14ac:dyDescent="0.25">
      <c r="B203" s="40"/>
      <c r="C203" s="136" t="str">
        <f>$C$47</f>
        <v>Revolver:</v>
      </c>
      <c r="D203" s="52"/>
      <c r="E203" s="43"/>
      <c r="F203" s="43"/>
      <c r="G203" s="43"/>
      <c r="H203" s="140"/>
      <c r="I203" s="43"/>
      <c r="J203" s="141"/>
      <c r="K203" s="198">
        <f>K197*K225</f>
        <v>0</v>
      </c>
      <c r="L203" s="198">
        <f>L197*L225</f>
        <v>0</v>
      </c>
      <c r="M203" s="198">
        <f>M197*M225</f>
        <v>0</v>
      </c>
      <c r="N203" s="198">
        <f>N197*N225</f>
        <v>0</v>
      </c>
      <c r="O203" s="198">
        <f>O197*O225</f>
        <v>0</v>
      </c>
    </row>
    <row r="204" spans="2:15" ht="15.75" hidden="1" customHeight="1" outlineLevel="2" x14ac:dyDescent="0.25">
      <c r="B204" s="40"/>
      <c r="C204" s="136" t="str">
        <f>$C$48</f>
        <v>Existing Debt:</v>
      </c>
      <c r="D204" s="52"/>
      <c r="E204" s="43"/>
      <c r="F204" s="43"/>
      <c r="G204" s="43"/>
      <c r="H204" s="140"/>
      <c r="I204" s="43"/>
      <c r="J204" s="141"/>
      <c r="K204" s="198">
        <f>K198*K231</f>
        <v>0</v>
      </c>
      <c r="L204" s="198">
        <f>L198*L231</f>
        <v>0</v>
      </c>
      <c r="M204" s="198">
        <f>M198*M231</f>
        <v>0</v>
      </c>
      <c r="N204" s="198">
        <f>N198*N231</f>
        <v>0</v>
      </c>
      <c r="O204" s="198">
        <f>O198*O231</f>
        <v>0</v>
      </c>
    </row>
    <row r="205" spans="2:15" ht="15.75" hidden="1" customHeight="1" outlineLevel="2" x14ac:dyDescent="0.25">
      <c r="B205" s="40"/>
      <c r="C205" s="136" t="str">
        <f>$C$49</f>
        <v>Term Loans:</v>
      </c>
      <c r="D205" s="52"/>
      <c r="E205" s="43"/>
      <c r="F205" s="43"/>
      <c r="G205" s="43"/>
      <c r="H205" s="140"/>
      <c r="I205" s="43"/>
      <c r="J205" s="141"/>
      <c r="K205" s="198">
        <f>K199*K237</f>
        <v>5.3559562500000002</v>
      </c>
      <c r="L205" s="198">
        <f>L199*L237</f>
        <v>4.6064172123144234</v>
      </c>
      <c r="M205" s="198">
        <f>M199*M237</f>
        <v>3.7523121286619046</v>
      </c>
      <c r="N205" s="198">
        <f>N199*N237</f>
        <v>2.1810700666264884</v>
      </c>
      <c r="O205" s="198">
        <f>O199*O237</f>
        <v>0</v>
      </c>
    </row>
    <row r="206" spans="2:15" ht="15.75" hidden="1" customHeight="1" outlineLevel="2" x14ac:dyDescent="0.25">
      <c r="B206" s="40"/>
      <c r="C206" s="136" t="str">
        <f>$C$50</f>
        <v>Subordinated Notes:</v>
      </c>
      <c r="D206" s="49"/>
      <c r="E206" s="43"/>
      <c r="F206" s="43"/>
      <c r="G206" s="43"/>
      <c r="H206" s="140"/>
      <c r="I206" s="43"/>
      <c r="J206" s="141"/>
      <c r="K206" s="240">
        <f>K200*K243</f>
        <v>7.9347500000000011</v>
      </c>
      <c r="L206" s="240">
        <f>L200*L243</f>
        <v>8.1727925000000017</v>
      </c>
      <c r="M206" s="240">
        <f>M200*M243</f>
        <v>8.4179762750000009</v>
      </c>
      <c r="N206" s="240">
        <f>N200*N243</f>
        <v>8.6705155632500013</v>
      </c>
      <c r="O206" s="240">
        <f>O200*O243</f>
        <v>8.9306310301475005</v>
      </c>
    </row>
    <row r="207" spans="2:15" ht="15.75" hidden="1" customHeight="1" outlineLevel="2" x14ac:dyDescent="0.25">
      <c r="B207" s="40"/>
      <c r="C207" s="153" t="s">
        <v>146</v>
      </c>
      <c r="D207" s="52"/>
      <c r="E207" s="138"/>
      <c r="F207" s="138"/>
      <c r="G207" s="138"/>
      <c r="H207" s="137"/>
      <c r="I207" s="138"/>
      <c r="J207" s="139"/>
      <c r="K207" s="39">
        <f>SUM(K203:K206)</f>
        <v>13.290706250000001</v>
      </c>
      <c r="L207" s="39">
        <f>SUM(L203:L206)</f>
        <v>12.779209712314426</v>
      </c>
      <c r="M207" s="39">
        <f>SUM(M203:M206)</f>
        <v>12.170288403661905</v>
      </c>
      <c r="N207" s="39">
        <f>SUM(N203:N206)</f>
        <v>10.851585629876489</v>
      </c>
      <c r="O207" s="39">
        <f>SUM(O203:O206)</f>
        <v>8.9306310301475005</v>
      </c>
    </row>
    <row r="208" spans="2:15" ht="15.75" hidden="1" customHeight="1" outlineLevel="2" x14ac:dyDescent="0.25">
      <c r="B208" s="40"/>
      <c r="C208" s="41"/>
      <c r="D208" s="42"/>
      <c r="E208" s="43"/>
      <c r="F208" s="43"/>
      <c r="G208" s="43"/>
      <c r="H208" s="140"/>
      <c r="I208" s="43"/>
      <c r="J208" s="141"/>
      <c r="K208" s="43"/>
      <c r="L208" s="43"/>
      <c r="M208" s="43"/>
      <c r="N208" s="43"/>
      <c r="O208" s="43"/>
    </row>
    <row r="209" spans="3:15" ht="15.75" customHeight="1" outlineLevel="1" collapsed="1" x14ac:dyDescent="0.25">
      <c r="C209" s="9" t="s">
        <v>139</v>
      </c>
      <c r="D209" s="9"/>
      <c r="E209" s="9"/>
      <c r="F209" s="9"/>
      <c r="G209" s="9"/>
      <c r="H209" s="105"/>
      <c r="I209" s="9"/>
      <c r="J209" s="106"/>
      <c r="K209" s="9"/>
      <c r="L209" s="9"/>
      <c r="M209" s="9"/>
      <c r="N209" s="9"/>
      <c r="O209" s="9"/>
    </row>
    <row r="210" spans="3:15" ht="15.75" customHeight="1" outlineLevel="1" x14ac:dyDescent="0.25">
      <c r="C210" s="202" t="s">
        <v>33</v>
      </c>
      <c r="D210" s="52"/>
      <c r="G210" s="212"/>
      <c r="H210" s="233"/>
      <c r="I210" s="212"/>
      <c r="J210" s="234"/>
      <c r="K210" s="198">
        <f>J126</f>
        <v>20</v>
      </c>
      <c r="L210" s="198">
        <f>K126</f>
        <v>24.754298059679492</v>
      </c>
      <c r="M210" s="198">
        <f>L126</f>
        <v>32.289532593197514</v>
      </c>
      <c r="N210" s="198">
        <f>M126</f>
        <v>42.649643014593245</v>
      </c>
      <c r="O210" s="198">
        <f>N126</f>
        <v>54.229347247315843</v>
      </c>
    </row>
    <row r="211" spans="3:15" ht="15.75" customHeight="1" outlineLevel="1" x14ac:dyDescent="0.25">
      <c r="C211" s="281" t="s">
        <v>42</v>
      </c>
      <c r="D211" s="52"/>
      <c r="G211" s="212"/>
      <c r="H211" s="233"/>
      <c r="I211" s="212"/>
      <c r="J211" s="234"/>
      <c r="K211" s="198">
        <f>K182</f>
        <v>21.410721119358978</v>
      </c>
      <c r="L211" s="198">
        <f>L182</f>
        <v>31.726892126715533</v>
      </c>
      <c r="M211" s="198">
        <f>M182</f>
        <v>44.911878435988982</v>
      </c>
      <c r="N211" s="198">
        <f>N182</f>
        <v>55.201105565252362</v>
      </c>
      <c r="O211" s="198">
        <f>O182</f>
        <v>68.159412026943883</v>
      </c>
    </row>
    <row r="212" spans="3:15" ht="15.75" customHeight="1" outlineLevel="1" x14ac:dyDescent="0.25">
      <c r="C212" s="281" t="s">
        <v>138</v>
      </c>
      <c r="D212" s="52"/>
      <c r="G212" s="212"/>
      <c r="H212" s="233"/>
      <c r="I212" s="212"/>
      <c r="J212" s="234"/>
      <c r="K212" s="198">
        <f>K232+K238+K244</f>
        <v>-11.902125000000002</v>
      </c>
      <c r="L212" s="198">
        <f>L232+L238+L244</f>
        <v>-11.902125000000002</v>
      </c>
      <c r="M212" s="198">
        <f>M232+M238+M244</f>
        <v>-11.902125000000002</v>
      </c>
      <c r="N212" s="198">
        <f>N232+N238+N244</f>
        <v>-11.902125000000002</v>
      </c>
      <c r="O212" s="198">
        <f>O232+O238+O244</f>
        <v>0</v>
      </c>
    </row>
    <row r="213" spans="3:15" ht="15.75" customHeight="1" outlineLevel="1" x14ac:dyDescent="0.25">
      <c r="C213" s="281" t="s">
        <v>43</v>
      </c>
      <c r="D213" s="49"/>
      <c r="G213" s="212"/>
      <c r="H213" s="282"/>
      <c r="I213" s="204"/>
      <c r="J213" s="283"/>
      <c r="K213" s="240">
        <f>-Min_Cash</f>
        <v>-20</v>
      </c>
      <c r="L213" s="240">
        <f>-Min_Cash</f>
        <v>-20</v>
      </c>
      <c r="M213" s="240">
        <f>-Min_Cash</f>
        <v>-20</v>
      </c>
      <c r="N213" s="240">
        <f>-Min_Cash</f>
        <v>-20</v>
      </c>
      <c r="O213" s="240">
        <f>-Min_Cash</f>
        <v>-20</v>
      </c>
    </row>
    <row r="214" spans="3:15" ht="15.75" customHeight="1" outlineLevel="1" x14ac:dyDescent="0.25">
      <c r="C214" s="44" t="s">
        <v>139</v>
      </c>
      <c r="D214" s="52"/>
      <c r="E214" s="207"/>
      <c r="F214" s="207"/>
      <c r="G214" s="207"/>
      <c r="H214" s="233"/>
      <c r="I214" s="212"/>
      <c r="J214" s="234"/>
      <c r="K214" s="39">
        <f>SUM(K210:K213)</f>
        <v>9.5085961193589803</v>
      </c>
      <c r="L214" s="39">
        <f t="shared" ref="L214:O214" si="34">SUM(L210:L213)</f>
        <v>24.579065186395027</v>
      </c>
      <c r="M214" s="39">
        <f t="shared" si="34"/>
        <v>45.29928602918649</v>
      </c>
      <c r="N214" s="39">
        <f t="shared" si="34"/>
        <v>65.948623579845602</v>
      </c>
      <c r="O214" s="39">
        <f t="shared" si="34"/>
        <v>102.38875927425973</v>
      </c>
    </row>
    <row r="215" spans="3:15" ht="15.75" customHeight="1" outlineLevel="1" x14ac:dyDescent="0.25">
      <c r="C215" s="284" t="s">
        <v>156</v>
      </c>
      <c r="D215" s="49"/>
      <c r="E215" s="204"/>
      <c r="F215" s="204"/>
      <c r="G215" s="204"/>
      <c r="H215" s="282"/>
      <c r="I215" s="204"/>
      <c r="J215" s="283"/>
      <c r="K215" s="316">
        <f>SUM(K226:K227)</f>
        <v>0</v>
      </c>
      <c r="L215" s="316">
        <f t="shared" ref="L215:O215" si="35">SUM(L226:L227)</f>
        <v>0</v>
      </c>
      <c r="M215" s="316">
        <f t="shared" si="35"/>
        <v>0</v>
      </c>
      <c r="N215" s="316">
        <f t="shared" si="35"/>
        <v>0</v>
      </c>
      <c r="O215" s="316">
        <f t="shared" si="35"/>
        <v>0</v>
      </c>
    </row>
    <row r="216" spans="3:15" ht="15.75" customHeight="1" outlineLevel="1" x14ac:dyDescent="0.25">
      <c r="C216" s="315" t="s">
        <v>196</v>
      </c>
      <c r="D216" s="48"/>
      <c r="G216" s="212"/>
      <c r="H216" s="233"/>
      <c r="I216" s="212"/>
      <c r="J216" s="234"/>
      <c r="K216" s="318">
        <f>K214+K215</f>
        <v>9.5085961193589803</v>
      </c>
      <c r="L216" s="318">
        <f>L214+L215</f>
        <v>24.579065186395027</v>
      </c>
      <c r="M216" s="318">
        <f>M214+M215</f>
        <v>45.29928602918649</v>
      </c>
      <c r="N216" s="318">
        <f>N214+N215</f>
        <v>65.948623579845602</v>
      </c>
      <c r="O216" s="318">
        <f>O214+O215</f>
        <v>102.38875927425973</v>
      </c>
    </row>
    <row r="217" spans="3:15" ht="15.75" customHeight="1" outlineLevel="1" x14ac:dyDescent="0.25">
      <c r="C217" s="317" t="s">
        <v>197</v>
      </c>
      <c r="D217" s="49"/>
      <c r="G217" s="212"/>
      <c r="H217" s="233"/>
      <c r="I217" s="212"/>
      <c r="J217" s="234"/>
      <c r="K217" s="150">
        <f>K233</f>
        <v>0</v>
      </c>
      <c r="L217" s="150">
        <f>L233</f>
        <v>0</v>
      </c>
      <c r="M217" s="150">
        <f>M233</f>
        <v>0</v>
      </c>
      <c r="N217" s="150">
        <f>N233</f>
        <v>0</v>
      </c>
      <c r="O217" s="150">
        <f>O233</f>
        <v>0</v>
      </c>
    </row>
    <row r="218" spans="3:15" ht="15.75" customHeight="1" outlineLevel="1" x14ac:dyDescent="0.25">
      <c r="C218" s="44" t="s">
        <v>198</v>
      </c>
      <c r="D218" s="52"/>
      <c r="E218" s="207"/>
      <c r="F218" s="207"/>
      <c r="G218" s="207"/>
      <c r="H218" s="249"/>
      <c r="I218" s="207"/>
      <c r="J218" s="250"/>
      <c r="K218" s="151">
        <f>K216+K217</f>
        <v>9.5085961193589803</v>
      </c>
      <c r="L218" s="151">
        <f>L216+L217</f>
        <v>24.579065186395027</v>
      </c>
      <c r="M218" s="151">
        <f>M216+M217</f>
        <v>45.29928602918649</v>
      </c>
      <c r="N218" s="151">
        <f>N216+N217</f>
        <v>65.948623579845602</v>
      </c>
      <c r="O218" s="151">
        <f>O216+O217</f>
        <v>102.38875927425973</v>
      </c>
    </row>
    <row r="219" spans="3:15" ht="15.75" customHeight="1" outlineLevel="1" x14ac:dyDescent="0.25">
      <c r="C219" s="317" t="s">
        <v>199</v>
      </c>
      <c r="D219" s="49"/>
      <c r="E219" s="204"/>
      <c r="F219" s="204"/>
      <c r="G219" s="204"/>
      <c r="H219" s="282"/>
      <c r="I219" s="204"/>
      <c r="J219" s="283"/>
      <c r="K219" s="285">
        <f>K239</f>
        <v>-4.7542980596794902</v>
      </c>
      <c r="L219" s="285">
        <f>L239</f>
        <v>-12.289532593197514</v>
      </c>
      <c r="M219" s="285">
        <f>M239</f>
        <v>-22.649643014593245</v>
      </c>
      <c r="N219" s="285">
        <f>N239</f>
        <v>-31.719276332529763</v>
      </c>
      <c r="O219" s="285">
        <f>O239</f>
        <v>0</v>
      </c>
    </row>
    <row r="220" spans="3:15" ht="15.75" customHeight="1" outlineLevel="1" x14ac:dyDescent="0.25">
      <c r="C220" s="29" t="s">
        <v>141</v>
      </c>
      <c r="D220" s="52"/>
      <c r="G220" s="212"/>
      <c r="H220" s="233"/>
      <c r="I220" s="212"/>
      <c r="J220" s="234"/>
      <c r="K220" s="152">
        <f>K218+K219</f>
        <v>4.7542980596794902</v>
      </c>
      <c r="L220" s="152">
        <f>L218+L219</f>
        <v>12.289532593197514</v>
      </c>
      <c r="M220" s="152">
        <f>M218+M219</f>
        <v>22.649643014593245</v>
      </c>
      <c r="N220" s="152">
        <f>N218+N219</f>
        <v>34.229347247315843</v>
      </c>
      <c r="O220" s="152">
        <f>O218+O219</f>
        <v>102.38875927425973</v>
      </c>
    </row>
    <row r="221" spans="3:15" ht="15.75" customHeight="1" outlineLevel="1" x14ac:dyDescent="0.25">
      <c r="C221" s="286" t="s">
        <v>157</v>
      </c>
      <c r="D221" s="52"/>
      <c r="E221" s="212"/>
      <c r="F221" s="212"/>
      <c r="G221" s="212"/>
      <c r="H221" s="233"/>
      <c r="I221" s="212"/>
      <c r="J221" s="234"/>
      <c r="K221" s="287">
        <f>K246</f>
        <v>0</v>
      </c>
      <c r="L221" s="287">
        <f>L246</f>
        <v>0</v>
      </c>
      <c r="M221" s="287">
        <f>M246</f>
        <v>0</v>
      </c>
      <c r="N221" s="287">
        <f>N246</f>
        <v>0</v>
      </c>
      <c r="O221" s="287">
        <f>O246</f>
        <v>-91.985499610519255</v>
      </c>
    </row>
    <row r="222" spans="3:15" ht="15.75" customHeight="1" outlineLevel="1" x14ac:dyDescent="0.25">
      <c r="C222" s="44" t="s">
        <v>160</v>
      </c>
      <c r="D222" s="180"/>
      <c r="E222" s="207"/>
      <c r="F222" s="207"/>
      <c r="G222" s="207"/>
      <c r="H222" s="249"/>
      <c r="I222" s="207"/>
      <c r="J222" s="250"/>
      <c r="K222" s="151">
        <f>K220+K221</f>
        <v>4.7542980596794902</v>
      </c>
      <c r="L222" s="151">
        <f>L220+L221</f>
        <v>12.289532593197514</v>
      </c>
      <c r="M222" s="151">
        <f>M220+M221</f>
        <v>22.649643014593245</v>
      </c>
      <c r="N222" s="151">
        <f>N220+N221</f>
        <v>34.229347247315843</v>
      </c>
      <c r="O222" s="151">
        <f>O220+O221</f>
        <v>10.403259663740471</v>
      </c>
    </row>
    <row r="223" spans="3:15" ht="15.75" customHeight="1" outlineLevel="1" x14ac:dyDescent="0.25">
      <c r="C223" s="202"/>
      <c r="G223" s="212"/>
      <c r="H223" s="233"/>
      <c r="I223" s="212"/>
      <c r="J223" s="234"/>
      <c r="K223" s="288"/>
      <c r="L223" s="288"/>
      <c r="M223" s="288"/>
      <c r="N223" s="288"/>
      <c r="O223" s="288"/>
    </row>
    <row r="224" spans="3:15" ht="15.75" customHeight="1" outlineLevel="1" x14ac:dyDescent="0.25">
      <c r="C224" s="9" t="s">
        <v>13</v>
      </c>
      <c r="D224" s="9"/>
      <c r="E224" s="9"/>
      <c r="F224" s="9"/>
      <c r="G224" s="9"/>
      <c r="H224" s="105"/>
      <c r="I224" s="9"/>
      <c r="J224" s="106"/>
      <c r="K224" s="9"/>
      <c r="L224" s="9"/>
      <c r="M224" s="9"/>
      <c r="N224" s="9"/>
      <c r="O224" s="9"/>
    </row>
    <row r="225" spans="3:15" ht="15.75" customHeight="1" outlineLevel="1" x14ac:dyDescent="0.25">
      <c r="C225" s="314" t="s">
        <v>192</v>
      </c>
      <c r="D225" s="48"/>
      <c r="G225" s="212"/>
      <c r="H225" s="233"/>
      <c r="I225" s="212"/>
      <c r="J225" s="234"/>
      <c r="K225" s="198">
        <f>J228</f>
        <v>0</v>
      </c>
      <c r="L225" s="198">
        <f>K228</f>
        <v>0</v>
      </c>
      <c r="M225" s="198">
        <f>L228</f>
        <v>0</v>
      </c>
      <c r="N225" s="198">
        <f>M228</f>
        <v>0</v>
      </c>
      <c r="O225" s="198">
        <f>N228</f>
        <v>0</v>
      </c>
    </row>
    <row r="226" spans="3:15" ht="15.75" customHeight="1" outlineLevel="1" x14ac:dyDescent="0.25">
      <c r="C226" s="286" t="s">
        <v>133</v>
      </c>
      <c r="D226" s="48"/>
      <c r="E226" s="212"/>
      <c r="F226" s="212"/>
      <c r="G226" s="212"/>
      <c r="H226" s="233"/>
      <c r="I226" s="212"/>
      <c r="J226" s="234"/>
      <c r="K226" s="236">
        <f>-MIN(K214,0)</f>
        <v>0</v>
      </c>
      <c r="L226" s="236">
        <f>-MIN(L214,0)</f>
        <v>0</v>
      </c>
      <c r="M226" s="236">
        <f>-MIN(M214,0)</f>
        <v>0</v>
      </c>
      <c r="N226" s="236">
        <f>-MIN(N214,0)</f>
        <v>0</v>
      </c>
      <c r="O226" s="236">
        <f>-MIN(O214,0)</f>
        <v>0</v>
      </c>
    </row>
    <row r="227" spans="3:15" ht="15.75" customHeight="1" outlineLevel="1" x14ac:dyDescent="0.25">
      <c r="C227" s="284" t="s">
        <v>144</v>
      </c>
      <c r="D227" s="289">
        <f>I47</f>
        <v>1</v>
      </c>
      <c r="E227" s="204"/>
      <c r="F227" s="204"/>
      <c r="G227" s="204"/>
      <c r="H227" s="282"/>
      <c r="I227" s="204"/>
      <c r="J227" s="283"/>
      <c r="K227" s="240">
        <f>IF(K214&gt;0,-MIN(K214*$D227,K225),0)</f>
        <v>0</v>
      </c>
      <c r="L227" s="240">
        <f>IF(L214&gt;0,-MIN(L214*$D227,L225),0)</f>
        <v>0</v>
      </c>
      <c r="M227" s="240">
        <f>IF(M214&gt;0,-MIN(M214*$D227,M225),0)</f>
        <v>0</v>
      </c>
      <c r="N227" s="240">
        <f>IF(N214&gt;0,-MIN(N214*$D227,N225),0)</f>
        <v>0</v>
      </c>
      <c r="O227" s="240">
        <f>IF(O214&gt;0,-MIN(O214*$D227,O225),0)</f>
        <v>0</v>
      </c>
    </row>
    <row r="228" spans="3:15" ht="15.75" customHeight="1" outlineLevel="1" x14ac:dyDescent="0.25">
      <c r="C228" s="29" t="s">
        <v>193</v>
      </c>
      <c r="D228" s="48"/>
      <c r="H228" s="148"/>
      <c r="I228" s="133"/>
      <c r="J228" s="319">
        <f>IF(Cash_Free_Debt_Free,D26,D35)</f>
        <v>0</v>
      </c>
      <c r="K228" s="39">
        <f>SUM(K225:K227)</f>
        <v>0</v>
      </c>
      <c r="L228" s="39">
        <f t="shared" ref="L228:O228" si="36">SUM(L225:L227)</f>
        <v>0</v>
      </c>
      <c r="M228" s="39">
        <f t="shared" si="36"/>
        <v>0</v>
      </c>
      <c r="N228" s="39">
        <f t="shared" si="36"/>
        <v>0</v>
      </c>
      <c r="O228" s="39">
        <f t="shared" si="36"/>
        <v>0</v>
      </c>
    </row>
    <row r="229" spans="3:15" ht="15.75" customHeight="1" outlineLevel="1" x14ac:dyDescent="0.25">
      <c r="C229" s="202"/>
      <c r="G229" s="212"/>
      <c r="H229" s="233"/>
      <c r="I229" s="212"/>
      <c r="J229" s="234"/>
      <c r="K229" s="288"/>
      <c r="L229" s="288"/>
      <c r="M229" s="288"/>
      <c r="N229" s="288"/>
      <c r="O229" s="288"/>
    </row>
    <row r="230" spans="3:15" ht="15.75" customHeight="1" outlineLevel="1" x14ac:dyDescent="0.25">
      <c r="C230" s="9" t="s">
        <v>187</v>
      </c>
      <c r="D230" s="9"/>
      <c r="E230" s="9"/>
      <c r="F230" s="9"/>
      <c r="G230" s="9"/>
      <c r="H230" s="105"/>
      <c r="I230" s="9"/>
      <c r="J230" s="106"/>
      <c r="K230" s="9"/>
      <c r="L230" s="9"/>
      <c r="M230" s="9"/>
      <c r="N230" s="9"/>
      <c r="O230" s="9"/>
    </row>
    <row r="231" spans="3:15" ht="15.75" customHeight="1" outlineLevel="1" x14ac:dyDescent="0.25">
      <c r="C231" s="314" t="s">
        <v>194</v>
      </c>
      <c r="D231" s="48"/>
      <c r="G231" s="212"/>
      <c r="H231" s="233"/>
      <c r="I231" s="212"/>
      <c r="J231" s="234"/>
      <c r="K231" s="198">
        <f>J234</f>
        <v>0</v>
      </c>
      <c r="L231" s="198">
        <f>K234</f>
        <v>0</v>
      </c>
      <c r="M231" s="198">
        <f>L234</f>
        <v>0</v>
      </c>
      <c r="N231" s="198">
        <f>M234</f>
        <v>0</v>
      </c>
      <c r="O231" s="198">
        <f>N234</f>
        <v>0</v>
      </c>
    </row>
    <row r="232" spans="3:15" ht="15.75" customHeight="1" outlineLevel="1" x14ac:dyDescent="0.25">
      <c r="C232" s="281" t="s">
        <v>135</v>
      </c>
      <c r="D232" s="290">
        <f>H48</f>
        <v>0</v>
      </c>
      <c r="E232" s="212"/>
      <c r="F232" s="212"/>
      <c r="G232" s="212"/>
      <c r="H232" s="233"/>
      <c r="I232" s="212"/>
      <c r="J232" s="234"/>
      <c r="K232" s="236">
        <f>-MIN(K231,$D232*$J234)</f>
        <v>0</v>
      </c>
      <c r="L232" s="236">
        <f t="shared" ref="L232:O232" si="37">-MIN(L231,$D232*$J234)</f>
        <v>0</v>
      </c>
      <c r="M232" s="236">
        <f t="shared" si="37"/>
        <v>0</v>
      </c>
      <c r="N232" s="236">
        <f t="shared" si="37"/>
        <v>0</v>
      </c>
      <c r="O232" s="236">
        <f t="shared" si="37"/>
        <v>0</v>
      </c>
    </row>
    <row r="233" spans="3:15" ht="15.75" customHeight="1" outlineLevel="1" x14ac:dyDescent="0.25">
      <c r="C233" s="284" t="s">
        <v>137</v>
      </c>
      <c r="D233" s="289">
        <f>I48</f>
        <v>1</v>
      </c>
      <c r="E233" s="204"/>
      <c r="F233" s="204"/>
      <c r="G233" s="204"/>
      <c r="H233" s="282"/>
      <c r="I233" s="204"/>
      <c r="J233" s="283"/>
      <c r="K233" s="240">
        <f>IF(K216&gt;0,-MIN(K216*$D233,K231),0)</f>
        <v>0</v>
      </c>
      <c r="L233" s="240">
        <f t="shared" ref="L233:O233" si="38">IF(L216&gt;0,-MIN(L216*$D233,L231),0)</f>
        <v>0</v>
      </c>
      <c r="M233" s="240">
        <f t="shared" si="38"/>
        <v>0</v>
      </c>
      <c r="N233" s="240">
        <f t="shared" si="38"/>
        <v>0</v>
      </c>
      <c r="O233" s="240">
        <f t="shared" si="38"/>
        <v>0</v>
      </c>
    </row>
    <row r="234" spans="3:15" ht="15.75" customHeight="1" outlineLevel="1" x14ac:dyDescent="0.25">
      <c r="C234" s="29" t="s">
        <v>195</v>
      </c>
      <c r="D234" s="48"/>
      <c r="H234" s="148"/>
      <c r="I234" s="133"/>
      <c r="J234" s="319">
        <f>IF(Cash_Free_Debt_Free,0,D38)</f>
        <v>0</v>
      </c>
      <c r="K234" s="39">
        <f>SUM(K231:K233)</f>
        <v>0</v>
      </c>
      <c r="L234" s="39">
        <f t="shared" ref="L234:O234" si="39">SUM(L231:L233)</f>
        <v>0</v>
      </c>
      <c r="M234" s="39">
        <f t="shared" si="39"/>
        <v>0</v>
      </c>
      <c r="N234" s="39">
        <f t="shared" si="39"/>
        <v>0</v>
      </c>
      <c r="O234" s="39">
        <f t="shared" si="39"/>
        <v>0</v>
      </c>
    </row>
    <row r="235" spans="3:15" ht="15.75" customHeight="1" outlineLevel="1" x14ac:dyDescent="0.25">
      <c r="C235" s="202"/>
      <c r="G235" s="212"/>
      <c r="H235" s="233"/>
      <c r="I235" s="212"/>
      <c r="J235" s="234"/>
      <c r="K235" s="288"/>
      <c r="L235" s="288"/>
      <c r="M235" s="288"/>
      <c r="N235" s="288"/>
      <c r="O235" s="288"/>
    </row>
    <row r="236" spans="3:15" ht="15.75" customHeight="1" outlineLevel="1" x14ac:dyDescent="0.25">
      <c r="C236" s="9" t="s">
        <v>173</v>
      </c>
      <c r="D236" s="9"/>
      <c r="E236" s="9"/>
      <c r="F236" s="9"/>
      <c r="G236" s="9"/>
      <c r="H236" s="105"/>
      <c r="I236" s="9"/>
      <c r="J236" s="106"/>
      <c r="K236" s="9"/>
      <c r="L236" s="9"/>
      <c r="M236" s="9"/>
      <c r="N236" s="9"/>
      <c r="O236" s="9"/>
    </row>
    <row r="237" spans="3:15" ht="15.75" customHeight="1" outlineLevel="1" x14ac:dyDescent="0.25">
      <c r="C237" s="314" t="s">
        <v>188</v>
      </c>
      <c r="D237" s="48"/>
      <c r="G237" s="212"/>
      <c r="H237" s="233"/>
      <c r="I237" s="212"/>
      <c r="J237" s="234"/>
      <c r="K237" s="198">
        <f>J240</f>
        <v>119.02125000000001</v>
      </c>
      <c r="L237" s="198">
        <f>K240</f>
        <v>102.36482694032053</v>
      </c>
      <c r="M237" s="198">
        <f>L240</f>
        <v>78.173169347123007</v>
      </c>
      <c r="N237" s="198">
        <f>M240</f>
        <v>43.621401332529764</v>
      </c>
      <c r="O237" s="198">
        <f>N240</f>
        <v>0</v>
      </c>
    </row>
    <row r="238" spans="3:15" ht="15.75" customHeight="1" outlineLevel="1" x14ac:dyDescent="0.25">
      <c r="C238" s="281" t="s">
        <v>135</v>
      </c>
      <c r="D238" s="290">
        <f>H49</f>
        <v>0.1</v>
      </c>
      <c r="E238" s="212"/>
      <c r="F238" s="212"/>
      <c r="G238" s="212"/>
      <c r="H238" s="233"/>
      <c r="I238" s="212"/>
      <c r="J238" s="234"/>
      <c r="K238" s="236">
        <f>-MIN(K237,$D238*$J240)</f>
        <v>-11.902125000000002</v>
      </c>
      <c r="L238" s="236">
        <f t="shared" ref="L238:O238" si="40">-MIN(L237,$D238*$J240)</f>
        <v>-11.902125000000002</v>
      </c>
      <c r="M238" s="236">
        <f t="shared" si="40"/>
        <v>-11.902125000000002</v>
      </c>
      <c r="N238" s="236">
        <f t="shared" si="40"/>
        <v>-11.902125000000002</v>
      </c>
      <c r="O238" s="236">
        <f t="shared" si="40"/>
        <v>0</v>
      </c>
    </row>
    <row r="239" spans="3:15" ht="15.75" customHeight="1" outlineLevel="1" x14ac:dyDescent="0.25">
      <c r="C239" s="281" t="s">
        <v>137</v>
      </c>
      <c r="D239" s="289">
        <f>I49</f>
        <v>0.5</v>
      </c>
      <c r="E239" s="204"/>
      <c r="F239" s="204"/>
      <c r="G239" s="204"/>
      <c r="H239" s="282"/>
      <c r="I239" s="204"/>
      <c r="J239" s="283"/>
      <c r="K239" s="240">
        <f>IF(K218&gt;0,-MIN(K218*$D239,SUM(K237:K238)),0)</f>
        <v>-4.7542980596794902</v>
      </c>
      <c r="L239" s="240">
        <f>IF(L218&gt;0,-MIN(L218*$D239,SUM(L237:L238)),0)</f>
        <v>-12.289532593197514</v>
      </c>
      <c r="M239" s="240">
        <f>IF(M218&gt;0,-MIN(M218*$D239,SUM(M237:M238)),0)</f>
        <v>-22.649643014593245</v>
      </c>
      <c r="N239" s="240">
        <f>IF(N218&gt;0,-MIN(N218*$D239,SUM(N237:N238)),0)</f>
        <v>-31.719276332529763</v>
      </c>
      <c r="O239" s="240">
        <f>IF(O218&gt;0,-MIN(O218*$D239,SUM(O237:O238)),0)</f>
        <v>0</v>
      </c>
    </row>
    <row r="240" spans="3:15" ht="15.75" customHeight="1" outlineLevel="1" x14ac:dyDescent="0.25">
      <c r="C240" s="44" t="s">
        <v>189</v>
      </c>
      <c r="D240" s="48"/>
      <c r="E240" s="212"/>
      <c r="F240" s="212"/>
      <c r="H240" s="149"/>
      <c r="I240" s="134"/>
      <c r="J240" s="319">
        <f>IF(Cash_Free_Debt_Free,D27,D36)</f>
        <v>119.02125000000001</v>
      </c>
      <c r="K240" s="39">
        <f>SUM(K237:K239)</f>
        <v>102.36482694032053</v>
      </c>
      <c r="L240" s="39">
        <f t="shared" ref="L240:O240" si="41">SUM(L237:L239)</f>
        <v>78.173169347123007</v>
      </c>
      <c r="M240" s="39">
        <f t="shared" si="41"/>
        <v>43.621401332529764</v>
      </c>
      <c r="N240" s="39">
        <f t="shared" si="41"/>
        <v>0</v>
      </c>
      <c r="O240" s="39">
        <f t="shared" si="41"/>
        <v>0</v>
      </c>
    </row>
    <row r="241" spans="2:15" ht="15.75" customHeight="1" outlineLevel="1" x14ac:dyDescent="0.25">
      <c r="C241" s="202"/>
      <c r="G241" s="212"/>
      <c r="H241" s="233"/>
      <c r="I241" s="212"/>
      <c r="J241" s="234"/>
      <c r="K241" s="47"/>
      <c r="L241" s="47"/>
      <c r="M241" s="47"/>
      <c r="N241" s="47"/>
      <c r="O241" s="47"/>
    </row>
    <row r="242" spans="2:15" ht="15.75" customHeight="1" outlineLevel="1" x14ac:dyDescent="0.25">
      <c r="C242" s="9" t="s">
        <v>52</v>
      </c>
      <c r="D242" s="9"/>
      <c r="E242" s="9"/>
      <c r="F242" s="9"/>
      <c r="G242" s="9"/>
      <c r="H242" s="105"/>
      <c r="I242" s="9"/>
      <c r="J242" s="106"/>
      <c r="K242" s="9"/>
      <c r="L242" s="9"/>
      <c r="M242" s="9"/>
      <c r="N242" s="9"/>
      <c r="O242" s="9"/>
    </row>
    <row r="243" spans="2:15" ht="15.75" customHeight="1" outlineLevel="1" x14ac:dyDescent="0.25">
      <c r="C243" s="314" t="s">
        <v>190</v>
      </c>
      <c r="D243" s="48"/>
      <c r="G243" s="212"/>
      <c r="H243" s="233"/>
      <c r="I243" s="212"/>
      <c r="J243" s="234"/>
      <c r="K243" s="198">
        <f>J247</f>
        <v>79.347500000000011</v>
      </c>
      <c r="L243" s="198">
        <f>K247</f>
        <v>81.727925000000013</v>
      </c>
      <c r="M243" s="198">
        <f>L247</f>
        <v>84.179762750000009</v>
      </c>
      <c r="N243" s="198">
        <f>M247</f>
        <v>86.705155632500009</v>
      </c>
      <c r="O243" s="198">
        <f>N247</f>
        <v>89.306310301475008</v>
      </c>
    </row>
    <row r="244" spans="2:15" ht="15.75" customHeight="1" outlineLevel="1" x14ac:dyDescent="0.25">
      <c r="C244" s="281" t="s">
        <v>135</v>
      </c>
      <c r="D244" s="290">
        <f>H50</f>
        <v>0</v>
      </c>
      <c r="G244" s="212"/>
      <c r="H244" s="233"/>
      <c r="I244" s="212"/>
      <c r="J244" s="234"/>
      <c r="K244" s="236">
        <f>-MIN(K243,$D244*$J247)</f>
        <v>0</v>
      </c>
      <c r="L244" s="236">
        <f t="shared" ref="L244:O244" si="42">-MIN(L243,$D244*$J247)</f>
        <v>0</v>
      </c>
      <c r="M244" s="236">
        <f t="shared" si="42"/>
        <v>0</v>
      </c>
      <c r="N244" s="236">
        <f t="shared" si="42"/>
        <v>0</v>
      </c>
      <c r="O244" s="236">
        <f t="shared" si="42"/>
        <v>0</v>
      </c>
    </row>
    <row r="245" spans="2:15" ht="15.75" customHeight="1" outlineLevel="1" x14ac:dyDescent="0.25">
      <c r="C245" s="281" t="s">
        <v>40</v>
      </c>
      <c r="D245" s="290">
        <f>G50</f>
        <v>0.03</v>
      </c>
      <c r="G245" s="212"/>
      <c r="H245" s="233"/>
      <c r="I245" s="212"/>
      <c r="J245" s="234"/>
      <c r="K245" s="236">
        <f>$D245*J247</f>
        <v>2.3804250000000002</v>
      </c>
      <c r="L245" s="236">
        <f>$D245*K247</f>
        <v>2.4518377500000001</v>
      </c>
      <c r="M245" s="236">
        <f>$D245*L247</f>
        <v>2.5253928825000003</v>
      </c>
      <c r="N245" s="236">
        <f>$D245*M247</f>
        <v>2.601154668975</v>
      </c>
      <c r="O245" s="236">
        <f>$D245*N247</f>
        <v>2.6791893090442502</v>
      </c>
    </row>
    <row r="246" spans="2:15" ht="15.75" customHeight="1" outlineLevel="1" x14ac:dyDescent="0.25">
      <c r="C246" s="286" t="s">
        <v>137</v>
      </c>
      <c r="D246" s="290" t="str">
        <f>I50</f>
        <v>N/A</v>
      </c>
      <c r="E246" s="212"/>
      <c r="F246" s="212"/>
      <c r="G246" s="212"/>
      <c r="H246" s="233"/>
      <c r="I246" s="212"/>
      <c r="J246" s="234"/>
      <c r="K246" s="236">
        <f>IF(K220&gt;SUM(K243:K245),-SUM(K243:K245),0)</f>
        <v>0</v>
      </c>
      <c r="L246" s="236">
        <f>IF(L220&gt;SUM(L243:L245),-SUM(L243:L245),0)</f>
        <v>0</v>
      </c>
      <c r="M246" s="236">
        <f>IF(M220&gt;SUM(M243:M245),-SUM(M243:M245),0)</f>
        <v>0</v>
      </c>
      <c r="N246" s="236">
        <f>IF(N220&gt;SUM(N243:N245),-SUM(N243:N245),0)</f>
        <v>0</v>
      </c>
      <c r="O246" s="236">
        <f>IF(O220&gt;SUM(O243:O245),-SUM(O243:O245),0)</f>
        <v>-91.985499610519255</v>
      </c>
    </row>
    <row r="247" spans="2:15" ht="15.75" customHeight="1" outlineLevel="1" x14ac:dyDescent="0.25">
      <c r="C247" s="44" t="s">
        <v>191</v>
      </c>
      <c r="D247" s="180"/>
      <c r="E247" s="207"/>
      <c r="F247" s="207"/>
      <c r="G247" s="207"/>
      <c r="H247" s="181"/>
      <c r="I247" s="182"/>
      <c r="J247" s="320">
        <f>IF(Cash_Free_Debt_Free,D28,D37)</f>
        <v>79.347500000000011</v>
      </c>
      <c r="K247" s="35">
        <f>SUM(K243:K246)</f>
        <v>81.727925000000013</v>
      </c>
      <c r="L247" s="35">
        <f t="shared" ref="L247:O247" si="43">SUM(L243:L246)</f>
        <v>84.179762750000009</v>
      </c>
      <c r="M247" s="35">
        <f t="shared" si="43"/>
        <v>86.705155632500009</v>
      </c>
      <c r="N247" s="35">
        <f t="shared" si="43"/>
        <v>89.306310301475008</v>
      </c>
      <c r="O247" s="35">
        <f t="shared" si="43"/>
        <v>0</v>
      </c>
    </row>
    <row r="248" spans="2:15" ht="15.75" customHeight="1" x14ac:dyDescent="0.25">
      <c r="C248" s="202"/>
      <c r="G248" s="212"/>
      <c r="H248" s="212"/>
      <c r="I248" s="212"/>
      <c r="J248" s="212"/>
      <c r="K248" s="198"/>
      <c r="L248" s="210"/>
      <c r="M248" s="198"/>
      <c r="N248" s="198"/>
      <c r="O248" s="198"/>
    </row>
    <row r="249" spans="2:15" ht="15.75" customHeight="1" x14ac:dyDescent="0.25">
      <c r="B249" s="26"/>
      <c r="C249" s="27"/>
      <c r="D249" s="14"/>
      <c r="E249" s="15" t="str">
        <f>$E$68</f>
        <v>Historical</v>
      </c>
      <c r="F249" s="16"/>
      <c r="G249" s="16"/>
      <c r="H249" s="17" t="str">
        <f>$H$68</f>
        <v>Transaction Adjustments:</v>
      </c>
      <c r="I249" s="16"/>
      <c r="J249" s="16"/>
      <c r="K249" s="17" t="str">
        <f>$K$68</f>
        <v>Projected</v>
      </c>
      <c r="L249" s="18"/>
      <c r="M249" s="16"/>
      <c r="N249" s="16"/>
      <c r="O249" s="16"/>
    </row>
    <row r="250" spans="2:15" ht="15.75" customHeight="1" x14ac:dyDescent="0.25">
      <c r="B250" s="4" t="s">
        <v>132</v>
      </c>
      <c r="C250" s="5"/>
      <c r="D250" s="38" t="str">
        <f>$D$69</f>
        <v>Units:</v>
      </c>
      <c r="E250" s="1">
        <f>$E$69</f>
        <v>43100</v>
      </c>
      <c r="F250" s="1">
        <f>$F$69</f>
        <v>43465</v>
      </c>
      <c r="G250" s="2">
        <f>$G$69</f>
        <v>43830</v>
      </c>
      <c r="H250" s="1" t="str">
        <f>$H$69</f>
        <v>Debit</v>
      </c>
      <c r="I250" s="1" t="str">
        <f>$I$69</f>
        <v>Credit</v>
      </c>
      <c r="J250" s="1">
        <f>$J$69</f>
        <v>43830</v>
      </c>
      <c r="K250" s="64">
        <f>$K$69</f>
        <v>44196</v>
      </c>
      <c r="L250" s="1">
        <f>$L$69</f>
        <v>44561</v>
      </c>
      <c r="M250" s="1">
        <f>$M$69</f>
        <v>44926</v>
      </c>
      <c r="N250" s="1">
        <f>$N$69</f>
        <v>45291</v>
      </c>
      <c r="O250" s="1">
        <f>$O$69</f>
        <v>45657</v>
      </c>
    </row>
    <row r="251" spans="2:15" ht="15.75" customHeight="1" outlineLevel="1" x14ac:dyDescent="0.25">
      <c r="G251" s="207"/>
      <c r="H251" s="249"/>
      <c r="I251" s="207"/>
      <c r="J251" s="250"/>
    </row>
    <row r="252" spans="2:15" ht="15.75" customHeight="1" outlineLevel="1" x14ac:dyDescent="0.25">
      <c r="C252" s="196" t="s">
        <v>6</v>
      </c>
      <c r="D252" s="52" t="s">
        <v>50</v>
      </c>
      <c r="G252" s="212"/>
      <c r="H252" s="233"/>
      <c r="I252" s="212"/>
      <c r="J252" s="234"/>
      <c r="K252" s="28">
        <v>1</v>
      </c>
      <c r="L252" s="51">
        <f>K252+1</f>
        <v>2</v>
      </c>
      <c r="M252" s="51">
        <f>L252+1</f>
        <v>3</v>
      </c>
      <c r="N252" s="51">
        <f>M252+1</f>
        <v>4</v>
      </c>
      <c r="O252" s="51">
        <f>N252+1</f>
        <v>5</v>
      </c>
    </row>
    <row r="253" spans="2:15" ht="15.75" customHeight="1" outlineLevel="1" x14ac:dyDescent="0.25">
      <c r="G253" s="212"/>
      <c r="H253" s="233"/>
      <c r="I253" s="212"/>
      <c r="J253" s="234"/>
    </row>
    <row r="254" spans="2:15" ht="15.75" customHeight="1" outlineLevel="1" x14ac:dyDescent="0.25">
      <c r="C254" s="3" t="s">
        <v>25</v>
      </c>
      <c r="D254" s="52" t="s">
        <v>152</v>
      </c>
      <c r="G254" s="212"/>
      <c r="H254" s="233"/>
      <c r="I254" s="212"/>
      <c r="J254" s="234"/>
      <c r="K254" s="39">
        <f>K109</f>
        <v>57.469359375000003</v>
      </c>
      <c r="L254" s="39">
        <f>L109</f>
        <v>73.368196071428642</v>
      </c>
      <c r="M254" s="39">
        <f>M109</f>
        <v>90.222535929999978</v>
      </c>
      <c r="N254" s="39">
        <f>N109</f>
        <v>101.44053800775001</v>
      </c>
      <c r="O254" s="39">
        <f>O109</f>
        <v>116.71263371390759</v>
      </c>
    </row>
    <row r="255" spans="2:15" ht="15.75" customHeight="1" outlineLevel="1" x14ac:dyDescent="0.25">
      <c r="C255" s="202" t="s">
        <v>44</v>
      </c>
      <c r="D255" s="49" t="s">
        <v>51</v>
      </c>
      <c r="G255" s="212"/>
      <c r="H255" s="233"/>
      <c r="I255" s="212"/>
      <c r="J255" s="234"/>
      <c r="K255" s="333">
        <f>Exit_Multiple</f>
        <v>11</v>
      </c>
      <c r="L255" s="334">
        <f>K255-0.5</f>
        <v>10.5</v>
      </c>
      <c r="M255" s="334">
        <f>L255-0.5</f>
        <v>10</v>
      </c>
      <c r="N255" s="334">
        <f>M255-0.5</f>
        <v>9.5</v>
      </c>
      <c r="O255" s="334">
        <f>N255-0.5</f>
        <v>9</v>
      </c>
    </row>
    <row r="256" spans="2:15" ht="15.75" customHeight="1" outlineLevel="1" x14ac:dyDescent="0.25">
      <c r="C256" s="34" t="s">
        <v>46</v>
      </c>
      <c r="D256" s="48" t="s">
        <v>152</v>
      </c>
      <c r="E256" s="207"/>
      <c r="F256" s="207"/>
      <c r="G256" s="207"/>
      <c r="H256" s="249"/>
      <c r="I256" s="207"/>
      <c r="J256" s="250"/>
      <c r="K256" s="35">
        <f>K254*K255</f>
        <v>632.16295312500006</v>
      </c>
      <c r="L256" s="35">
        <f>L254*L255</f>
        <v>770.36605875000078</v>
      </c>
      <c r="M256" s="35">
        <f>M254*M255</f>
        <v>902.22535929999981</v>
      </c>
      <c r="N256" s="35">
        <f>N254*N255</f>
        <v>963.68511107362508</v>
      </c>
      <c r="O256" s="35">
        <f>O254*O255</f>
        <v>1050.4137034251683</v>
      </c>
    </row>
    <row r="257" spans="2:16" ht="15.75" customHeight="1" outlineLevel="1" x14ac:dyDescent="0.25">
      <c r="C257" s="203" t="s">
        <v>7</v>
      </c>
      <c r="D257" s="49" t="s">
        <v>152</v>
      </c>
      <c r="E257" s="204"/>
      <c r="F257" s="204"/>
      <c r="G257" s="204"/>
      <c r="H257" s="282"/>
      <c r="I257" s="204"/>
      <c r="J257" s="283"/>
      <c r="K257" s="240">
        <f>-K147+K126</f>
        <v>-159.33845388064105</v>
      </c>
      <c r="L257" s="240">
        <f t="shared" ref="L257:O257" si="44">-L147+L126</f>
        <v>-130.0633995039255</v>
      </c>
      <c r="M257" s="240">
        <f t="shared" si="44"/>
        <v>-87.676913950436528</v>
      </c>
      <c r="N257" s="240">
        <f t="shared" si="44"/>
        <v>-35.076963054159165</v>
      </c>
      <c r="O257" s="240">
        <f t="shared" si="44"/>
        <v>30.403259663740471</v>
      </c>
    </row>
    <row r="258" spans="2:16" ht="15.75" customHeight="1" outlineLevel="1" x14ac:dyDescent="0.25">
      <c r="C258" s="23" t="s">
        <v>45</v>
      </c>
      <c r="D258" s="48" t="s">
        <v>152</v>
      </c>
      <c r="G258" s="212"/>
      <c r="H258" s="233"/>
      <c r="I258" s="212"/>
      <c r="J258" s="234"/>
      <c r="K258" s="35">
        <f>K256+K257</f>
        <v>472.824499244359</v>
      </c>
      <c r="L258" s="35">
        <f>L256+L257</f>
        <v>640.30265924607534</v>
      </c>
      <c r="M258" s="35">
        <f>M256+M257</f>
        <v>814.54844534956328</v>
      </c>
      <c r="N258" s="35">
        <f>N256+N257</f>
        <v>928.60814801946594</v>
      </c>
      <c r="O258" s="35">
        <f>O256+O257</f>
        <v>1080.8169630889088</v>
      </c>
    </row>
    <row r="259" spans="2:16" ht="15.75" customHeight="1" outlineLevel="1" x14ac:dyDescent="0.25">
      <c r="G259" s="212"/>
      <c r="H259" s="233"/>
      <c r="I259" s="212"/>
      <c r="J259" s="234"/>
    </row>
    <row r="260" spans="2:16" ht="15.75" customHeight="1" outlineLevel="1" x14ac:dyDescent="0.25">
      <c r="C260" s="244" t="s">
        <v>49</v>
      </c>
      <c r="D260" s="48" t="s">
        <v>51</v>
      </c>
      <c r="G260" s="212"/>
      <c r="H260" s="233"/>
      <c r="I260" s="212"/>
      <c r="J260" s="234"/>
      <c r="K260" s="211">
        <f>K258/IF(Cash_Free_Debt_Free,$D$29,$D$40)</f>
        <v>1.1079984750446328</v>
      </c>
      <c r="L260" s="211">
        <f>L258/IF(Cash_Free_Debt_Free,$D$29,$D$40)</f>
        <v>1.5004602577605093</v>
      </c>
      <c r="M260" s="211">
        <f>M258/IF(Cash_Free_Debt_Free,$D$29,$D$40)</f>
        <v>1.9087810313121374</v>
      </c>
      <c r="N260" s="211">
        <f>N258/IF(Cash_Free_Debt_Free,$D$29,$D$40)</f>
        <v>2.1760640862812992</v>
      </c>
      <c r="O260" s="211">
        <f>O258/IF(Cash_Free_Debt_Free,$D$29,$D$40)</f>
        <v>2.5327442821146695</v>
      </c>
    </row>
    <row r="261" spans="2:16" ht="15.75" customHeight="1" outlineLevel="1" x14ac:dyDescent="0.25">
      <c r="C261" s="244" t="s">
        <v>48</v>
      </c>
      <c r="D261" s="52" t="s">
        <v>35</v>
      </c>
      <c r="G261" s="212"/>
      <c r="H261" s="233"/>
      <c r="I261" s="212"/>
      <c r="J261" s="234"/>
      <c r="K261" s="63">
        <f>(K258/IF(Cash_Free_Debt_Free,$D$29,$D$40))^(1/K252)-1</f>
        <v>0.10799847504463278</v>
      </c>
      <c r="L261" s="63">
        <f>(L258/IF(Cash_Free_Debt_Free,$D$29,$D$40))^(1/L252)-1</f>
        <v>0.22493275642400445</v>
      </c>
      <c r="M261" s="63">
        <f>(M258/IF(Cash_Free_Debt_Free,$D$29,$D$40))^(1/M252)-1</f>
        <v>0.24046744241697526</v>
      </c>
      <c r="N261" s="63">
        <f>(N258/IF(Cash_Free_Debt_Free,$D$29,$D$40))^(1/N252)-1</f>
        <v>0.21455705312598883</v>
      </c>
      <c r="O261" s="63">
        <f>(O258/IF(Cash_Free_Debt_Free,$D$29,$D$40))^(1/O252)-1</f>
        <v>0.20425447469502434</v>
      </c>
    </row>
    <row r="262" spans="2:16" ht="15.75" customHeight="1" outlineLevel="1" x14ac:dyDescent="0.25">
      <c r="G262" s="212"/>
      <c r="H262" s="233"/>
      <c r="I262" s="212"/>
      <c r="J262" s="234"/>
    </row>
    <row r="263" spans="2:16" ht="15.75" customHeight="1" outlineLevel="1" x14ac:dyDescent="0.25">
      <c r="C263" s="3" t="s">
        <v>201</v>
      </c>
      <c r="D263" s="52" t="s">
        <v>152</v>
      </c>
      <c r="G263" s="212"/>
      <c r="H263" s="233"/>
      <c r="I263" s="212"/>
      <c r="J263" s="86">
        <f>-IF(Cash_Free_Debt_Free,D29,D40)</f>
        <v>-426.73750000000001</v>
      </c>
      <c r="K263" s="85">
        <f>IF(K250=Exit_Year,K258,0)</f>
        <v>0</v>
      </c>
      <c r="L263" s="71">
        <f>IF(L250=Exit_Year,L258,0)</f>
        <v>0</v>
      </c>
      <c r="M263" s="71">
        <f>IF(M250=Exit_Year,M258,0)</f>
        <v>0</v>
      </c>
      <c r="N263" s="71">
        <f>IF(N250=Exit_Year,N258,0)</f>
        <v>0</v>
      </c>
      <c r="O263" s="71">
        <f>IF(O250=Exit_Year,O258,0)</f>
        <v>1080.8169630889088</v>
      </c>
    </row>
    <row r="264" spans="2:16" ht="15.75" customHeight="1" outlineLevel="1" x14ac:dyDescent="0.25">
      <c r="G264" s="212"/>
      <c r="H264" s="233"/>
      <c r="I264" s="212"/>
      <c r="J264" s="234"/>
    </row>
    <row r="265" spans="2:16" ht="15.75" customHeight="1" outlineLevel="1" x14ac:dyDescent="0.25">
      <c r="C265" s="72" t="s">
        <v>49</v>
      </c>
      <c r="D265" s="48" t="s">
        <v>51</v>
      </c>
      <c r="G265" s="212"/>
      <c r="H265" s="233"/>
      <c r="I265" s="212"/>
      <c r="J265" s="331">
        <f>-SUM(K263:O263)/J263</f>
        <v>2.5327442821146695</v>
      </c>
    </row>
    <row r="266" spans="2:16" ht="15.75" customHeight="1" outlineLevel="1" x14ac:dyDescent="0.25">
      <c r="C266" s="72" t="s">
        <v>48</v>
      </c>
      <c r="D266" s="52" t="s">
        <v>35</v>
      </c>
      <c r="G266" s="212"/>
      <c r="H266" s="233"/>
      <c r="I266" s="212"/>
      <c r="J266" s="332">
        <f>IRR(J263:O263)</f>
        <v>0.20425447469502411</v>
      </c>
    </row>
    <row r="267" spans="2:16" ht="15.75" customHeight="1" x14ac:dyDescent="0.25">
      <c r="G267" s="212"/>
      <c r="H267" s="212"/>
      <c r="I267" s="212"/>
      <c r="J267" s="212"/>
    </row>
    <row r="268" spans="2:16" ht="15.75" customHeight="1" x14ac:dyDescent="0.25">
      <c r="B268" s="4" t="s">
        <v>150</v>
      </c>
      <c r="C268" s="5"/>
      <c r="D268" s="6"/>
      <c r="E268" s="7"/>
      <c r="F268" s="7"/>
      <c r="G268" s="7"/>
      <c r="H268" s="7"/>
      <c r="I268" s="7"/>
      <c r="J268" s="7"/>
      <c r="K268" s="7"/>
      <c r="L268" s="6"/>
      <c r="M268" s="7"/>
      <c r="N268" s="7"/>
      <c r="O268" s="7"/>
    </row>
    <row r="269" spans="2:16" ht="15.75" customHeight="1" outlineLevel="1" x14ac:dyDescent="0.25"/>
    <row r="270" spans="2:16" ht="15.75" customHeight="1" outlineLevel="1" x14ac:dyDescent="0.25">
      <c r="C270" s="53"/>
      <c r="D270" s="54"/>
      <c r="E270" s="55" t="str">
        <f>TEXT($O$69,"YYYY")&amp;" Exit EV / EBITDA Multiple:"</f>
        <v>2024 Exit EV / EBITDA Multiple:</v>
      </c>
      <c r="F270" s="56"/>
      <c r="G270" s="56"/>
      <c r="H270" s="56"/>
      <c r="I270" s="56"/>
      <c r="J270" s="56"/>
      <c r="K270" s="56"/>
      <c r="L270" s="56"/>
      <c r="M270" s="57"/>
    </row>
    <row r="271" spans="2:16" ht="15.75" customHeight="1" outlineLevel="1" x14ac:dyDescent="0.25">
      <c r="C271" s="58"/>
      <c r="D271" s="59">
        <f>$O$261</f>
        <v>0.20425447469502434</v>
      </c>
      <c r="E271" s="322">
        <v>7</v>
      </c>
      <c r="F271" s="323">
        <f t="shared" ref="F271:M271" si="45">E271+0.5</f>
        <v>7.5</v>
      </c>
      <c r="G271" s="323">
        <f t="shared" si="45"/>
        <v>8</v>
      </c>
      <c r="H271" s="323">
        <f t="shared" si="45"/>
        <v>8.5</v>
      </c>
      <c r="I271" s="324">
        <f t="shared" si="45"/>
        <v>9</v>
      </c>
      <c r="J271" s="323">
        <f t="shared" si="45"/>
        <v>9.5</v>
      </c>
      <c r="K271" s="323">
        <f t="shared" si="45"/>
        <v>10</v>
      </c>
      <c r="L271" s="323">
        <f t="shared" si="45"/>
        <v>10.5</v>
      </c>
      <c r="M271" s="325">
        <f t="shared" si="45"/>
        <v>11</v>
      </c>
    </row>
    <row r="272" spans="2:16" ht="15.75" customHeight="1" outlineLevel="1" x14ac:dyDescent="0.25">
      <c r="C272" s="337" t="s">
        <v>24</v>
      </c>
      <c r="D272" s="327">
        <v>17</v>
      </c>
      <c r="E272" s="306">
        <f t="dataTable" ref="E272:M280" dt2D="1" dtr="1" r1="O255" r2="D16" ca="1"/>
        <v>0.11586830008275317</v>
      </c>
      <c r="F272" s="306">
        <v>0.13190581904067789</v>
      </c>
      <c r="G272" s="306">
        <v>0.14708278394831131</v>
      </c>
      <c r="H272" s="306">
        <v>0.16149659925758675</v>
      </c>
      <c r="I272" s="326">
        <v>0.17522852837801839</v>
      </c>
      <c r="J272" s="306">
        <v>0.18834712194029035</v>
      </c>
      <c r="K272" s="306">
        <v>0.2009107747440424</v>
      </c>
      <c r="L272" s="306">
        <v>0.21296966558390351</v>
      </c>
      <c r="M272" s="306">
        <v>0.22456725134944611</v>
      </c>
      <c r="P272" s="60"/>
    </row>
    <row r="273" spans="3:16" ht="15.75" customHeight="1" outlineLevel="1" x14ac:dyDescent="0.25">
      <c r="C273" s="338"/>
      <c r="D273" s="328">
        <f t="shared" ref="D273:D280" si="46">D272-0.5</f>
        <v>16.5</v>
      </c>
      <c r="E273" s="306">
        <v>0.12585432930511353</v>
      </c>
      <c r="F273" s="306">
        <v>0.14203413504779761</v>
      </c>
      <c r="G273" s="306">
        <v>0.15734581366633127</v>
      </c>
      <c r="H273" s="306">
        <v>0.17188762022734316</v>
      </c>
      <c r="I273" s="326">
        <v>0.18574152882284833</v>
      </c>
      <c r="J273" s="306">
        <v>0.19897669034907084</v>
      </c>
      <c r="K273" s="306">
        <v>0.21165201151747426</v>
      </c>
      <c r="L273" s="306">
        <v>0.22381811145233788</v>
      </c>
      <c r="M273" s="306">
        <v>0.23551882873143981</v>
      </c>
      <c r="P273" s="60"/>
    </row>
    <row r="274" spans="3:16" ht="15.75" customHeight="1" outlineLevel="1" x14ac:dyDescent="0.25">
      <c r="C274" s="338"/>
      <c r="D274" s="328">
        <f t="shared" si="46"/>
        <v>16</v>
      </c>
      <c r="E274" s="306">
        <v>0.13640005040864556</v>
      </c>
      <c r="F274" s="306">
        <v>0.15273016401686412</v>
      </c>
      <c r="G274" s="306">
        <v>0.16818414816600824</v>
      </c>
      <c r="H274" s="306">
        <v>0.18286115700445249</v>
      </c>
      <c r="I274" s="326">
        <v>0.19684391576083393</v>
      </c>
      <c r="J274" s="306">
        <v>0.21020220973629411</v>
      </c>
      <c r="K274" s="306">
        <v>0.2229954866462267</v>
      </c>
      <c r="L274" s="306">
        <v>0.23527483095156243</v>
      </c>
      <c r="M274" s="306">
        <v>0.24708448458167176</v>
      </c>
      <c r="P274" s="60"/>
    </row>
    <row r="275" spans="3:16" ht="15.75" customHeight="1" outlineLevel="1" x14ac:dyDescent="0.25">
      <c r="C275" s="338"/>
      <c r="D275" s="328">
        <f t="shared" si="46"/>
        <v>15.5</v>
      </c>
      <c r="E275" s="306">
        <v>0.14756586970977303</v>
      </c>
      <c r="F275" s="306">
        <v>0.1640551784032771</v>
      </c>
      <c r="G275" s="306">
        <v>0.17965987966742114</v>
      </c>
      <c r="H275" s="306">
        <v>0.19448008043762721</v>
      </c>
      <c r="I275" s="326">
        <v>0.20859930190515996</v>
      </c>
      <c r="J275" s="306">
        <v>0.22208800160465714</v>
      </c>
      <c r="K275" s="306">
        <v>0.2350062004911333</v>
      </c>
      <c r="L275" s="306">
        <v>0.24740547607118613</v>
      </c>
      <c r="M275" s="306">
        <v>0.25933049762978744</v>
      </c>
      <c r="P275" s="60"/>
    </row>
    <row r="276" spans="3:16" ht="15.75" customHeight="1" outlineLevel="1" x14ac:dyDescent="0.25">
      <c r="C276" s="338"/>
      <c r="D276" s="329">
        <f t="shared" si="46"/>
        <v>15</v>
      </c>
      <c r="E276" s="326">
        <v>0.15942216815769861</v>
      </c>
      <c r="F276" s="326">
        <v>0.17608056834489627</v>
      </c>
      <c r="G276" s="326">
        <v>0.19184535346231968</v>
      </c>
      <c r="H276" s="326">
        <v>0.20681764304142991</v>
      </c>
      <c r="I276" s="326">
        <v>0.22108180415629586</v>
      </c>
      <c r="J276" s="326">
        <v>0.23470900870230493</v>
      </c>
      <c r="K276" s="326">
        <v>0.24775988677269667</v>
      </c>
      <c r="L276" s="326">
        <v>0.26028653977713567</v>
      </c>
      <c r="M276" s="326">
        <v>0.27233409108748363</v>
      </c>
      <c r="P276" s="61"/>
    </row>
    <row r="277" spans="3:16" ht="15.75" customHeight="1" outlineLevel="1" x14ac:dyDescent="0.25">
      <c r="C277" s="338"/>
      <c r="D277" s="328">
        <f t="shared" si="46"/>
        <v>14.5</v>
      </c>
      <c r="E277" s="306">
        <v>0.17205158122906994</v>
      </c>
      <c r="F277" s="306">
        <v>0.18889015425682443</v>
      </c>
      <c r="G277" s="306">
        <v>0.20482551145772665</v>
      </c>
      <c r="H277" s="306">
        <v>0.2199598519352719</v>
      </c>
      <c r="I277" s="326">
        <v>0.23437844454809786</v>
      </c>
      <c r="J277" s="306">
        <v>0.24815322272709595</v>
      </c>
      <c r="K277" s="306">
        <v>0.26134546590330299</v>
      </c>
      <c r="L277" s="306">
        <v>0.27400783394365225</v>
      </c>
      <c r="M277" s="306">
        <v>0.28618593424052108</v>
      </c>
      <c r="P277" s="60"/>
    </row>
    <row r="278" spans="3:16" ht="15.75" customHeight="1" outlineLevel="1" x14ac:dyDescent="0.25">
      <c r="C278" s="338"/>
      <c r="D278" s="328">
        <f t="shared" si="46"/>
        <v>14</v>
      </c>
      <c r="E278" s="306">
        <v>0.18555196130046636</v>
      </c>
      <c r="F278" s="306">
        <v>0.20258319169328387</v>
      </c>
      <c r="G278" s="306">
        <v>0.21870093725160178</v>
      </c>
      <c r="H278" s="306">
        <v>0.23400855211437355</v>
      </c>
      <c r="I278" s="326">
        <v>0.24859226991015504</v>
      </c>
      <c r="J278" s="306">
        <v>0.26252483875747901</v>
      </c>
      <c r="K278" s="306">
        <v>0.27586823271805772</v>
      </c>
      <c r="L278" s="306">
        <v>0.28867570904811757</v>
      </c>
      <c r="M278" s="306">
        <v>0.30099339288643501</v>
      </c>
      <c r="P278" s="60"/>
    </row>
    <row r="279" spans="3:16" ht="15.75" customHeight="1" outlineLevel="1" x14ac:dyDescent="0.25">
      <c r="C279" s="338"/>
      <c r="D279" s="328">
        <f t="shared" si="46"/>
        <v>13.5</v>
      </c>
      <c r="E279" s="306">
        <v>0.20004028102782789</v>
      </c>
      <c r="F279" s="306">
        <v>0.21727833071414238</v>
      </c>
      <c r="G279" s="306">
        <v>0.23359186848792279</v>
      </c>
      <c r="H279" s="306">
        <v>0.24908548913365935</v>
      </c>
      <c r="I279" s="326">
        <v>0.2638464625035053</v>
      </c>
      <c r="J279" s="306">
        <v>0.27794841170162843</v>
      </c>
      <c r="K279" s="306">
        <v>0.29145405680222547</v>
      </c>
      <c r="L279" s="306">
        <v>0.30441729661641337</v>
      </c>
      <c r="M279" s="306">
        <v>0.31688481228878307</v>
      </c>
      <c r="P279" s="60"/>
    </row>
    <row r="280" spans="3:16" ht="15.75" customHeight="1" outlineLevel="1" x14ac:dyDescent="0.25">
      <c r="C280" s="339"/>
      <c r="D280" s="330">
        <f t="shared" si="46"/>
        <v>13</v>
      </c>
      <c r="E280" s="306">
        <v>0.21565785742605548</v>
      </c>
      <c r="F280" s="306">
        <v>0.2331189148958166</v>
      </c>
      <c r="G280" s="306">
        <v>0.24964356678569</v>
      </c>
      <c r="H280" s="306">
        <v>0.26533774639510965</v>
      </c>
      <c r="I280" s="326">
        <v>0.28028984148501568</v>
      </c>
      <c r="J280" s="306">
        <v>0.29457441907685022</v>
      </c>
      <c r="K280" s="306">
        <v>0.30825500399574834</v>
      </c>
      <c r="L280" s="306">
        <v>0.32138618709649669</v>
      </c>
      <c r="M280" s="306">
        <v>0.33401524926629178</v>
      </c>
      <c r="P280" s="60"/>
    </row>
    <row r="281" spans="3:16" ht="15.75" customHeight="1" outlineLevel="1" x14ac:dyDescent="0.25"/>
    <row r="282" spans="3:16" ht="15.75" customHeight="1" outlineLevel="1" x14ac:dyDescent="0.25">
      <c r="C282" s="53"/>
      <c r="D282" s="54"/>
      <c r="E282" s="55" t="s">
        <v>164</v>
      </c>
      <c r="F282" s="56"/>
      <c r="G282" s="56"/>
      <c r="H282" s="56"/>
      <c r="I282" s="56"/>
      <c r="J282" s="56"/>
      <c r="K282" s="56"/>
      <c r="L282" s="56"/>
      <c r="M282" s="57"/>
    </row>
    <row r="283" spans="3:16" ht="15.75" customHeight="1" outlineLevel="1" x14ac:dyDescent="0.25">
      <c r="C283" s="58"/>
      <c r="D283" s="59">
        <f>$J$266</f>
        <v>0.20425447469502411</v>
      </c>
      <c r="E283" s="322">
        <v>13</v>
      </c>
      <c r="F283" s="323">
        <f t="shared" ref="F283:M283" si="47">E283-0.5</f>
        <v>12.5</v>
      </c>
      <c r="G283" s="323">
        <f t="shared" si="47"/>
        <v>12</v>
      </c>
      <c r="H283" s="323">
        <f t="shared" si="47"/>
        <v>11.5</v>
      </c>
      <c r="I283" s="324">
        <f t="shared" si="47"/>
        <v>11</v>
      </c>
      <c r="J283" s="323">
        <f t="shared" si="47"/>
        <v>10.5</v>
      </c>
      <c r="K283" s="323">
        <f t="shared" si="47"/>
        <v>10</v>
      </c>
      <c r="L283" s="323">
        <f t="shared" si="47"/>
        <v>9.5</v>
      </c>
      <c r="M283" s="325">
        <f t="shared" si="47"/>
        <v>9</v>
      </c>
    </row>
    <row r="284" spans="3:16" ht="15.75" customHeight="1" outlineLevel="1" x14ac:dyDescent="0.25">
      <c r="C284" s="337" t="s">
        <v>149</v>
      </c>
      <c r="D284" s="172">
        <f t="array" ref="D284:D288">TRANSPOSE(K250:O250)</f>
        <v>44196</v>
      </c>
      <c r="E284" s="306">
        <f t="dataTable" ref="E284:M288" dt2D="1" dtr="1" r1="K12" r2="K10" ca="1"/>
        <v>0.42283859582430461</v>
      </c>
      <c r="F284" s="306">
        <v>0.34656617885625662</v>
      </c>
      <c r="G284" s="306">
        <v>0.27029376188820842</v>
      </c>
      <c r="H284" s="306">
        <v>0.19402134492016043</v>
      </c>
      <c r="I284" s="326">
        <v>0.11774892795211245</v>
      </c>
      <c r="J284" s="306">
        <v>4.1476510984064241E-2</v>
      </c>
      <c r="K284" s="306">
        <v>-3.4795905983983744E-2</v>
      </c>
      <c r="L284" s="306">
        <v>-0.1110683229520314</v>
      </c>
      <c r="M284" s="306">
        <v>-0.18734073992007982</v>
      </c>
    </row>
    <row r="285" spans="3:16" ht="15.75" customHeight="1" outlineLevel="1" x14ac:dyDescent="0.25">
      <c r="C285" s="338"/>
      <c r="D285" s="172">
        <v>44561</v>
      </c>
      <c r="E285" s="306">
        <v>0.39556467079631652</v>
      </c>
      <c r="F285" s="306">
        <v>0.36023073446352316</v>
      </c>
      <c r="G285" s="306">
        <v>0.32395413499832704</v>
      </c>
      <c r="H285" s="306">
        <v>0.28665514112292589</v>
      </c>
      <c r="I285" s="326">
        <v>0.24824210503280897</v>
      </c>
      <c r="J285" s="306">
        <v>0.20860880907570523</v>
      </c>
      <c r="K285" s="306">
        <v>0.16763100077477766</v>
      </c>
      <c r="L285" s="306">
        <v>0.12516179039847519</v>
      </c>
      <c r="M285" s="306">
        <v>8.1025418374312874E-2</v>
      </c>
    </row>
    <row r="286" spans="3:16" ht="15.75" customHeight="1" outlineLevel="1" x14ac:dyDescent="0.25">
      <c r="C286" s="338"/>
      <c r="D286" s="172">
        <v>44926</v>
      </c>
      <c r="E286" s="306">
        <v>0.35641084977476334</v>
      </c>
      <c r="F286" s="306">
        <v>0.3343601838375756</v>
      </c>
      <c r="G286" s="306">
        <v>0.31155560103818769</v>
      </c>
      <c r="H286" s="306">
        <v>0.28792915432809796</v>
      </c>
      <c r="I286" s="326">
        <v>0.26340253476880315</v>
      </c>
      <c r="J286" s="306">
        <v>0.23788476608382592</v>
      </c>
      <c r="K286" s="306">
        <v>0.21126920376300484</v>
      </c>
      <c r="L286" s="306">
        <v>0.18342956652162834</v>
      </c>
      <c r="M286" s="306">
        <v>0.15421459255301118</v>
      </c>
    </row>
    <row r="287" spans="3:16" ht="15.75" customHeight="1" outlineLevel="1" x14ac:dyDescent="0.25">
      <c r="C287" s="338"/>
      <c r="D287" s="172">
        <v>45291</v>
      </c>
      <c r="E287" s="306">
        <v>0.29977747921600439</v>
      </c>
      <c r="F287" s="306">
        <v>0.28417098677311747</v>
      </c>
      <c r="G287" s="306">
        <v>0.26797381203642767</v>
      </c>
      <c r="H287" s="306">
        <v>0.25113100142289646</v>
      </c>
      <c r="I287" s="326">
        <v>0.23357911346057647</v>
      </c>
      <c r="J287" s="306">
        <v>0.21524432397696369</v>
      </c>
      <c r="K287" s="306">
        <v>0.19603996134455959</v>
      </c>
      <c r="L287" s="306">
        <v>0.17586325013259363</v>
      </c>
      <c r="M287" s="306">
        <v>0.15459093288298109</v>
      </c>
    </row>
    <row r="288" spans="3:16" ht="15.75" customHeight="1" outlineLevel="1" x14ac:dyDescent="0.25">
      <c r="C288" s="338"/>
      <c r="D288" s="179">
        <v>45657</v>
      </c>
      <c r="E288" s="326">
        <v>0.27233409108683615</v>
      </c>
      <c r="F288" s="326">
        <v>0.26028653977695781</v>
      </c>
      <c r="G288" s="326">
        <v>0.24775988677265559</v>
      </c>
      <c r="H288" s="326">
        <v>0.23470900870229738</v>
      </c>
      <c r="I288" s="326">
        <v>0.22108180415629475</v>
      </c>
      <c r="J288" s="326">
        <v>0.20681764304142969</v>
      </c>
      <c r="K288" s="326">
        <v>0.19184535346231946</v>
      </c>
      <c r="L288" s="326">
        <v>0.17608056834307018</v>
      </c>
      <c r="M288" s="326">
        <v>0.1594221681576069</v>
      </c>
    </row>
  </sheetData>
  <mergeCells count="2">
    <mergeCell ref="C272:C280"/>
    <mergeCell ref="C284:C288"/>
  </mergeCells>
  <dataValidations count="2">
    <dataValidation type="list" allowBlank="1" showInputMessage="1" showErrorMessage="1" sqref="K10" xr:uid="{00000000-0002-0000-0000-000001000000}">
      <formula1>$K$69:$O$69</formula1>
    </dataValidation>
    <dataValidation type="whole" allowBlank="1" showInputMessage="1" showErrorMessage="1" sqref="D11:D12" xr:uid="{3321D1D9-27E0-4840-8A91-C830E2097F5F}">
      <formula1>0</formula1>
      <formula2>1</formula2>
    </dataValidation>
  </dataValidations>
  <pageMargins left="0.7" right="0.7" top="0.75" bottom="0.75" header="0.3" footer="0.3"/>
  <pageSetup scale="44" orientation="portrait" horizontalDpi="1200" verticalDpi="1200" r:id="rId1"/>
  <rowBreaks count="6" manualBreakCount="6">
    <brk id="42" max="15" man="1"/>
    <brk id="67" max="15" man="1"/>
    <brk id="121" max="15" man="1"/>
    <brk id="157" max="15" man="1"/>
    <brk id="189" max="15" man="1"/>
    <brk id="248" max="15" man="1"/>
  </rowBreaks>
  <ignoredErrors>
    <ignoredError sqref="K217:O221" formula="1"/>
    <ignoredError sqref="F105 I153:J153 L143:O144 K153:O153 K150:O151 K128:O129 I155:J155 I154 K155:O155 I15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Cash_Free_Debt_Free_LBO</vt:lpstr>
      <vt:lpstr>Assume_Debt</vt:lpstr>
      <vt:lpstr>Cash_Free_Debt_Free</vt:lpstr>
      <vt:lpstr>Company_Name</vt:lpstr>
      <vt:lpstr>Exit_Multiple</vt:lpstr>
      <vt:lpstr>Exit_Year</vt:lpstr>
      <vt:lpstr>Hist_Year</vt:lpstr>
      <vt:lpstr>LTM_EBITDA</vt:lpstr>
      <vt:lpstr>Min_Cash</vt:lpstr>
      <vt:lpstr>Cash_Free_Debt_Free_LBO!Print_Area</vt:lpstr>
      <vt:lpstr>Purchase_Multiple</vt:lpstr>
      <vt:lpstr>Tax_Rate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Shayan M.</dc:creator>
  <cp:lastModifiedBy>BIWS</cp:lastModifiedBy>
  <dcterms:created xsi:type="dcterms:W3CDTF">2016-10-28T03:10:17Z</dcterms:created>
  <dcterms:modified xsi:type="dcterms:W3CDTF">2022-11-23T15:24:48Z</dcterms:modified>
</cp:coreProperties>
</file>