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BIWS)\BIWS-All-Courses\100-Bonus-Case-Studies\Bank-Modeling\Bank-Growth-Equity-Buyout-Deals\"/>
    </mc:Choice>
  </mc:AlternateContent>
  <bookViews>
    <workbookView xWindow="120" yWindow="705" windowWidth="15000" windowHeight="5730"/>
  </bookViews>
  <sheets>
    <sheet name="Bank-Buyout" sheetId="31" r:id="rId1"/>
  </sheets>
  <definedNames>
    <definedName name="Calc_Exit_Multiple">'Bank-Buyout'!$K$17</definedName>
    <definedName name="CDI_Amort_Period">'Bank-Buyout'!$K$44</definedName>
    <definedName name="CDI_Writeup">'Bank-Buyout'!$K$43</definedName>
    <definedName name="Company_Name">'Bank-Buyout'!$D$7</definedName>
    <definedName name="Cost_of_Equity">'Bank-Buyout'!$K$15</definedName>
    <definedName name="Equity_Purchase_Price">'Bank-Buyout'!$K$10</definedName>
    <definedName name="Exit_Multiple">'Bank-Buyout'!$K$21</definedName>
    <definedName name="Final_Year_NI_Growth">'Bank-Buyout'!$E$15</definedName>
    <definedName name="Final_Year_ROE">'Bank-Buyout'!$E$14</definedName>
    <definedName name="Hist_Year">'Bank-Buyout'!$E$8</definedName>
    <definedName name="Intangibles_Writeup">'Bank-Buyout'!$K$49</definedName>
    <definedName name="Loan_Mark_Amort_Period">'Bank-Buyout'!$K$37</definedName>
    <definedName name="Loan_Marks">'Bank-Buyout'!$K$36</definedName>
    <definedName name="_xlnm.Print_Area" localSheetId="0">'Bank-Buyout'!$A$1:$P$185</definedName>
    <definedName name="Purchase_PTBV">'Bank-Buyout'!$K$9</definedName>
    <definedName name="ROA_Improvement">'Bank-Buyout'!$E$13</definedName>
    <definedName name="Targeted_CET_1">'Bank-Buyout'!$E$11</definedName>
    <definedName name="Tax_Rate">'Bank-Buyout'!$E$10</definedName>
  </definedNames>
  <calcPr calcId="162913" calcMode="autoNoTable" iterate="1" calcOnSave="0"/>
  <fileRecoveryPr autoRecover="0"/>
</workbook>
</file>

<file path=xl/calcChain.xml><?xml version="1.0" encoding="utf-8"?>
<calcChain xmlns="http://schemas.openxmlformats.org/spreadsheetml/2006/main">
  <c r="F158" i="31" l="1"/>
  <c r="F157" i="31"/>
  <c r="F156" i="31"/>
  <c r="F155" i="31"/>
  <c r="E157" i="31"/>
  <c r="E158" i="31"/>
  <c r="E156" i="31"/>
  <c r="E155" i="31"/>
  <c r="J152" i="31" l="1"/>
  <c r="J151" i="31"/>
  <c r="O148" i="31"/>
  <c r="O149" i="31" s="1"/>
  <c r="N148" i="31"/>
  <c r="N149" i="31" s="1"/>
  <c r="M148" i="31"/>
  <c r="M149" i="31" s="1"/>
  <c r="L148" i="31"/>
  <c r="L149" i="31" s="1"/>
  <c r="K149" i="31"/>
  <c r="K148" i="31"/>
  <c r="O147" i="31"/>
  <c r="J149" i="31"/>
  <c r="J147" i="31"/>
  <c r="K21" i="31" l="1"/>
  <c r="O78" i="31" l="1"/>
  <c r="N78" i="31"/>
  <c r="M78" i="31"/>
  <c r="L78" i="31"/>
  <c r="K78" i="31"/>
  <c r="O76" i="31"/>
  <c r="N76" i="31"/>
  <c r="M76" i="31"/>
  <c r="L76" i="31"/>
  <c r="K76" i="31"/>
  <c r="O74" i="31"/>
  <c r="N74" i="31"/>
  <c r="M74" i="31"/>
  <c r="L74" i="31"/>
  <c r="K74" i="31"/>
  <c r="O61" i="31" l="1"/>
  <c r="N61" i="31"/>
  <c r="M61" i="31"/>
  <c r="L61" i="31"/>
  <c r="K61" i="31"/>
  <c r="G163" i="31"/>
  <c r="H163" i="31" s="1"/>
  <c r="I163" i="31" s="1"/>
  <c r="J163" i="31" s="1"/>
  <c r="K163" i="31" s="1"/>
  <c r="L163" i="31" s="1"/>
  <c r="M163" i="31" s="1"/>
  <c r="N163" i="31" s="1"/>
  <c r="O163" i="31" s="1"/>
  <c r="F163" i="31"/>
  <c r="F175" i="31"/>
  <c r="G175" i="31" s="1"/>
  <c r="H175" i="31" s="1"/>
  <c r="I175" i="31" s="1"/>
  <c r="J175" i="31" s="1"/>
  <c r="K175" i="31" s="1"/>
  <c r="L175" i="31" s="1"/>
  <c r="M175" i="31" s="1"/>
  <c r="N175" i="31" s="1"/>
  <c r="O175" i="31" s="1"/>
  <c r="D165" i="31"/>
  <c r="D166" i="31" s="1"/>
  <c r="D167" i="31" s="1"/>
  <c r="D168" i="31" s="1"/>
  <c r="D169" i="31" s="1"/>
  <c r="D170" i="31" s="1"/>
  <c r="D171" i="31" s="1"/>
  <c r="D172" i="31" s="1"/>
  <c r="F91" i="31" l="1"/>
  <c r="G91" i="31"/>
  <c r="K91" i="31" s="1"/>
  <c r="L91" i="31" s="1"/>
  <c r="M91" i="31" s="1"/>
  <c r="N91" i="31" s="1"/>
  <c r="O91" i="31" s="1"/>
  <c r="E91" i="31"/>
  <c r="K36" i="31"/>
  <c r="J92" i="31" s="1"/>
  <c r="K92" i="31" s="1"/>
  <c r="I117" i="31"/>
  <c r="E40" i="31" l="1"/>
  <c r="I60" i="31" s="1"/>
  <c r="K60" i="31"/>
  <c r="L92" i="31"/>
  <c r="M92" i="31" l="1"/>
  <c r="L60" i="31"/>
  <c r="N92" i="31" l="1"/>
  <c r="M60" i="31"/>
  <c r="O92" i="31" l="1"/>
  <c r="O60" i="31" s="1"/>
  <c r="N60" i="31"/>
  <c r="C176" i="31" l="1"/>
  <c r="D176" i="31"/>
  <c r="D177" i="31"/>
  <c r="E131" i="31"/>
  <c r="D178" i="31" l="1"/>
  <c r="D179" i="31" l="1"/>
  <c r="D180" i="31" l="1"/>
  <c r="D181" i="31" l="1"/>
  <c r="D182" i="31" l="1"/>
  <c r="I144" i="31"/>
  <c r="H144" i="31"/>
  <c r="D144" i="31"/>
  <c r="K143" i="31"/>
  <c r="H143" i="31"/>
  <c r="E143" i="31"/>
  <c r="J120" i="31"/>
  <c r="K125" i="31" s="1"/>
  <c r="F117" i="31"/>
  <c r="G117" i="31"/>
  <c r="E117" i="31"/>
  <c r="E136" i="31"/>
  <c r="F136" i="31"/>
  <c r="E121" i="31"/>
  <c r="G121" i="31"/>
  <c r="G116" i="31"/>
  <c r="F116" i="31"/>
  <c r="E116" i="31"/>
  <c r="G115" i="31"/>
  <c r="F115" i="31"/>
  <c r="E115" i="31"/>
  <c r="F114" i="31"/>
  <c r="G114" i="31"/>
  <c r="E114" i="31"/>
  <c r="C114" i="31"/>
  <c r="E41" i="31"/>
  <c r="H61" i="31" s="1"/>
  <c r="J78" i="31"/>
  <c r="J76" i="31"/>
  <c r="J75" i="31"/>
  <c r="J74" i="31"/>
  <c r="E103" i="31"/>
  <c r="E102" i="31"/>
  <c r="E101" i="31"/>
  <c r="F101" i="31"/>
  <c r="G101" i="31"/>
  <c r="F98" i="31"/>
  <c r="G98" i="31"/>
  <c r="E98" i="31"/>
  <c r="K41" i="31"/>
  <c r="K43" i="31" s="1"/>
  <c r="E43" i="31" s="1"/>
  <c r="H66" i="31" s="1"/>
  <c r="H117" i="31" s="1"/>
  <c r="J117" i="31" s="1"/>
  <c r="E97" i="31"/>
  <c r="F97" i="31"/>
  <c r="E96" i="31"/>
  <c r="E90" i="31"/>
  <c r="E94" i="31"/>
  <c r="F90" i="31"/>
  <c r="E42" i="31"/>
  <c r="I65" i="31" s="1"/>
  <c r="I116" i="31" s="1"/>
  <c r="D183" i="31" l="1"/>
  <c r="D184" i="31"/>
  <c r="F118" i="31"/>
  <c r="G118" i="31"/>
  <c r="K7" i="31" s="1"/>
  <c r="K10" i="31" s="1"/>
  <c r="E26" i="31" s="1"/>
  <c r="E118" i="31"/>
  <c r="F121" i="31"/>
  <c r="K98" i="31"/>
  <c r="F79" i="31"/>
  <c r="F83" i="31" s="1"/>
  <c r="G79" i="31"/>
  <c r="G83" i="31" s="1"/>
  <c r="E79" i="31"/>
  <c r="E83" i="31" s="1"/>
  <c r="I129" i="31"/>
  <c r="H129" i="31"/>
  <c r="D129" i="31"/>
  <c r="K128" i="31"/>
  <c r="H128" i="31"/>
  <c r="E128" i="31"/>
  <c r="I112" i="31"/>
  <c r="H112" i="31"/>
  <c r="D112" i="31"/>
  <c r="K111" i="31"/>
  <c r="H111" i="31"/>
  <c r="E111" i="31"/>
  <c r="E62" i="31"/>
  <c r="E69" i="31" s="1"/>
  <c r="F131" i="31" s="1"/>
  <c r="G123" i="31" l="1"/>
  <c r="F123" i="31"/>
  <c r="G141" i="31"/>
  <c r="E123" i="31"/>
  <c r="F141" i="31"/>
  <c r="L98" i="31"/>
  <c r="E85" i="31"/>
  <c r="K87" i="31"/>
  <c r="H87" i="31"/>
  <c r="E87" i="31"/>
  <c r="D88" i="31"/>
  <c r="E36" i="31"/>
  <c r="J67" i="31"/>
  <c r="J66" i="31"/>
  <c r="J61" i="31"/>
  <c r="J60" i="31"/>
  <c r="J58" i="31"/>
  <c r="K58" i="31" s="1"/>
  <c r="J57" i="31"/>
  <c r="K62" i="31" l="1"/>
  <c r="J121" i="31"/>
  <c r="K66" i="31"/>
  <c r="L58" i="31"/>
  <c r="J62" i="31"/>
  <c r="M98" i="31"/>
  <c r="G54" i="31"/>
  <c r="B2" i="31"/>
  <c r="L66" i="31" l="1"/>
  <c r="K117" i="31"/>
  <c r="G129" i="31"/>
  <c r="G144" i="31"/>
  <c r="M58" i="31"/>
  <c r="N98" i="31"/>
  <c r="K67" i="31"/>
  <c r="L67" i="31"/>
  <c r="L62" i="31"/>
  <c r="F54" i="31"/>
  <c r="G112" i="31"/>
  <c r="K132" i="31"/>
  <c r="L132" i="31"/>
  <c r="M132" i="31"/>
  <c r="N132" i="31"/>
  <c r="O132" i="31"/>
  <c r="I62" i="31"/>
  <c r="H62" i="31"/>
  <c r="E37" i="31"/>
  <c r="I64" i="31" s="1"/>
  <c r="I115" i="31" s="1"/>
  <c r="G136" i="31"/>
  <c r="G97" i="31"/>
  <c r="G96" i="31"/>
  <c r="F96" i="31"/>
  <c r="G90" i="31"/>
  <c r="I88" i="31"/>
  <c r="H88" i="31"/>
  <c r="G62" i="31"/>
  <c r="F62" i="31"/>
  <c r="F69" i="31" s="1"/>
  <c r="G131" i="31" s="1"/>
  <c r="G103" i="31"/>
  <c r="G102" i="31"/>
  <c r="F103" i="31"/>
  <c r="F102" i="31"/>
  <c r="G94" i="31"/>
  <c r="F94" i="31"/>
  <c r="F85" i="31" l="1"/>
  <c r="F129" i="31"/>
  <c r="F144" i="31"/>
  <c r="M66" i="31"/>
  <c r="L117" i="31"/>
  <c r="N58" i="31"/>
  <c r="K96" i="31"/>
  <c r="L96" i="31" s="1"/>
  <c r="O98" i="31"/>
  <c r="M67" i="31"/>
  <c r="M62" i="31"/>
  <c r="E54" i="31"/>
  <c r="F112" i="31"/>
  <c r="I81" i="31"/>
  <c r="I114" i="31" s="1"/>
  <c r="K13" i="31"/>
  <c r="H81" i="31" s="1"/>
  <c r="H114" i="31" s="1"/>
  <c r="J54" i="31"/>
  <c r="J144" i="31" s="1"/>
  <c r="K26" i="31"/>
  <c r="E35" i="31"/>
  <c r="E38" i="31" s="1"/>
  <c r="F88" i="31"/>
  <c r="G88" i="31"/>
  <c r="G69" i="31"/>
  <c r="G85" i="31" s="1"/>
  <c r="J114" i="31" l="1"/>
  <c r="E129" i="31"/>
  <c r="E144" i="31"/>
  <c r="O58" i="31"/>
  <c r="N66" i="31"/>
  <c r="M117" i="31"/>
  <c r="K56" i="31"/>
  <c r="M96" i="31"/>
  <c r="L56" i="31"/>
  <c r="N67" i="31"/>
  <c r="J81" i="31"/>
  <c r="N62" i="31"/>
  <c r="K27" i="31"/>
  <c r="I56" i="31" s="1"/>
  <c r="J56" i="31" s="1"/>
  <c r="E27" i="31"/>
  <c r="J112" i="31"/>
  <c r="J129" i="31"/>
  <c r="E88" i="31"/>
  <c r="E112" i="31"/>
  <c r="K54" i="31"/>
  <c r="J88" i="31"/>
  <c r="K129" i="31" l="1"/>
  <c r="K144" i="31"/>
  <c r="O66" i="31"/>
  <c r="O117" i="31" s="1"/>
  <c r="N117" i="31"/>
  <c r="K28" i="31"/>
  <c r="N96" i="31"/>
  <c r="M56" i="31"/>
  <c r="O67" i="31"/>
  <c r="O62" i="31"/>
  <c r="L54" i="31"/>
  <c r="K112" i="31"/>
  <c r="K133" i="31"/>
  <c r="K88" i="31"/>
  <c r="L133" i="31"/>
  <c r="L129" i="31" l="1"/>
  <c r="L144" i="31"/>
  <c r="E28" i="31"/>
  <c r="E30" i="31" s="1"/>
  <c r="O96" i="31"/>
  <c r="O56" i="31" s="1"/>
  <c r="N56" i="31"/>
  <c r="M54" i="31"/>
  <c r="L112" i="31"/>
  <c r="L88" i="31"/>
  <c r="M133" i="31"/>
  <c r="M129" i="31" l="1"/>
  <c r="M144" i="31"/>
  <c r="N54" i="31"/>
  <c r="M112" i="31"/>
  <c r="M88" i="31"/>
  <c r="N133" i="31"/>
  <c r="N129" i="31" l="1"/>
  <c r="N144" i="31"/>
  <c r="O54" i="31"/>
  <c r="O144" i="31" s="1"/>
  <c r="N112" i="31"/>
  <c r="N88" i="31"/>
  <c r="O133" i="31"/>
  <c r="O112" i="31" l="1"/>
  <c r="O129" i="31"/>
  <c r="O88" i="31"/>
  <c r="K47" i="31" l="1"/>
  <c r="K49" i="31" s="1"/>
  <c r="E44" i="31" l="1"/>
  <c r="H65" i="31" s="1"/>
  <c r="K51" i="31"/>
  <c r="E45" i="31" s="1"/>
  <c r="J65" i="31" l="1"/>
  <c r="K65" i="31" s="1"/>
  <c r="K116" i="31" s="1"/>
  <c r="H116" i="31"/>
  <c r="J116" i="31" s="1"/>
  <c r="E46" i="31"/>
  <c r="H64" i="31" s="1"/>
  <c r="I77" i="31"/>
  <c r="J77" i="31" s="1"/>
  <c r="K77" i="31" s="1"/>
  <c r="L77" i="31" s="1"/>
  <c r="M77" i="31" s="1"/>
  <c r="N77" i="31" s="1"/>
  <c r="O77" i="31" s="1"/>
  <c r="J64" i="31" l="1"/>
  <c r="K64" i="31" s="1"/>
  <c r="K106" i="31" s="1"/>
  <c r="H115" i="31"/>
  <c r="J115" i="31" s="1"/>
  <c r="J118" i="31" s="1"/>
  <c r="K126" i="31" s="1"/>
  <c r="L65" i="31"/>
  <c r="L116" i="31" s="1"/>
  <c r="J79" i="31"/>
  <c r="J83" i="31" s="1"/>
  <c r="M65" i="31" l="1"/>
  <c r="M116" i="31" s="1"/>
  <c r="L64" i="31"/>
  <c r="K115" i="31"/>
  <c r="J69" i="31"/>
  <c r="K135" i="31" s="1"/>
  <c r="N65" i="31" l="1"/>
  <c r="N116" i="31" s="1"/>
  <c r="J85" i="31"/>
  <c r="M64" i="31"/>
  <c r="L115" i="31"/>
  <c r="O65" i="31" l="1"/>
  <c r="O116" i="31" s="1"/>
  <c r="N64" i="31"/>
  <c r="M115" i="31"/>
  <c r="O64" i="31" l="1"/>
  <c r="N115" i="31"/>
  <c r="O115" i="31" l="1"/>
  <c r="K138" i="31"/>
  <c r="K81" i="31" l="1"/>
  <c r="K114" i="31" s="1"/>
  <c r="K118" i="31" s="1"/>
  <c r="K136" i="31"/>
  <c r="K139" i="31"/>
  <c r="K107" i="31" l="1"/>
  <c r="K108" i="31" s="1"/>
  <c r="K57" i="31" s="1"/>
  <c r="K141" i="31"/>
  <c r="L106" i="31" l="1"/>
  <c r="K120" i="31"/>
  <c r="L125" i="31"/>
  <c r="L126" i="31" s="1"/>
  <c r="L138" i="31" s="1"/>
  <c r="K69" i="31"/>
  <c r="L135" i="31" s="1"/>
  <c r="L136" i="31" s="1"/>
  <c r="K109" i="31"/>
  <c r="K75" i="31" s="1"/>
  <c r="K79" i="31" s="1"/>
  <c r="K83" i="31" s="1"/>
  <c r="K85" i="31" s="1"/>
  <c r="K123" i="31" l="1"/>
  <c r="L81" i="31"/>
  <c r="L139" i="31"/>
  <c r="L107" i="31"/>
  <c r="L114" i="31"/>
  <c r="L118" i="31" s="1"/>
  <c r="L141" i="31" l="1"/>
  <c r="L108" i="31"/>
  <c r="L57" i="31" s="1"/>
  <c r="L120" i="31" s="1"/>
  <c r="L109" i="31"/>
  <c r="L75" i="31" s="1"/>
  <c r="L79" i="31" l="1"/>
  <c r="L83" i="31" s="1"/>
  <c r="L69" i="31"/>
  <c r="M106" i="31"/>
  <c r="M135" i="31" l="1"/>
  <c r="L85" i="31"/>
  <c r="M125" i="31"/>
  <c r="M126" i="31" s="1"/>
  <c r="M138" i="31" s="1"/>
  <c r="L123" i="31"/>
  <c r="M139" i="31" l="1"/>
  <c r="M136" i="31"/>
  <c r="M81" i="31"/>
  <c r="M114" i="31" l="1"/>
  <c r="M118" i="31" s="1"/>
  <c r="M107" i="31"/>
  <c r="M108" i="31" l="1"/>
  <c r="M57" i="31" s="1"/>
  <c r="M120" i="31" s="1"/>
  <c r="M109" i="31"/>
  <c r="M75" i="31" s="1"/>
  <c r="M141" i="31"/>
  <c r="M79" i="31" l="1"/>
  <c r="M83" i="31" s="1"/>
  <c r="M69" i="31"/>
  <c r="N106" i="31"/>
  <c r="N125" i="31" l="1"/>
  <c r="N126" i="31" s="1"/>
  <c r="N138" i="31" s="1"/>
  <c r="M123" i="31"/>
  <c r="N135" i="31"/>
  <c r="M85" i="31"/>
  <c r="N136" i="31" l="1"/>
  <c r="N81" i="31"/>
  <c r="N139" i="31"/>
  <c r="N114" i="31" l="1"/>
  <c r="N118" i="31" s="1"/>
  <c r="N107" i="31"/>
  <c r="N108" i="31" l="1"/>
  <c r="N57" i="31" s="1"/>
  <c r="N120" i="31" s="1"/>
  <c r="N109" i="31"/>
  <c r="N75" i="31" s="1"/>
  <c r="N141" i="31"/>
  <c r="N79" i="31" l="1"/>
  <c r="N83" i="31" s="1"/>
  <c r="N69" i="31"/>
  <c r="O106" i="31"/>
  <c r="O135" i="31" l="1"/>
  <c r="N85" i="31"/>
  <c r="O125" i="31"/>
  <c r="O126" i="31" s="1"/>
  <c r="O138" i="31" s="1"/>
  <c r="N123" i="31"/>
  <c r="O139" i="31" l="1"/>
  <c r="O136" i="31"/>
  <c r="E15" i="31" s="1"/>
  <c r="O81" i="31"/>
  <c r="O114" i="31" l="1"/>
  <c r="O118" i="31" s="1"/>
  <c r="O107" i="31"/>
  <c r="O141" i="31" l="1"/>
  <c r="E14" i="31" s="1"/>
  <c r="K18" i="31" s="1"/>
  <c r="O108" i="31"/>
  <c r="O57" i="31" s="1"/>
  <c r="O120" i="31" s="1"/>
  <c r="O109" i="31"/>
  <c r="O75" i="31" s="1"/>
  <c r="O79" i="31" s="1"/>
  <c r="O83" i="31" s="1"/>
  <c r="O123" i="31" l="1"/>
  <c r="O69" i="31"/>
  <c r="O85" i="31" s="1"/>
  <c r="D163" i="31" l="1"/>
  <c r="D175" i="31" l="1"/>
</calcChain>
</file>

<file path=xl/comments1.xml><?xml version="1.0" encoding="utf-8"?>
<comments xmlns="http://schemas.openxmlformats.org/spreadsheetml/2006/main">
  <authors>
    <author>BIWS</author>
  </authors>
  <commentList>
    <comment ref="K1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Changes vs. the purchase multiple reflect changes in ROTCE or Net Income to Common Growth.</t>
        </r>
      </text>
    </comment>
  </commentList>
</comments>
</file>

<file path=xl/sharedStrings.xml><?xml version="1.0" encoding="utf-8"?>
<sst xmlns="http://schemas.openxmlformats.org/spreadsheetml/2006/main" count="242" uniqueCount="171">
  <si>
    <t>Last Historical Year:</t>
  </si>
  <si>
    <t>Historical</t>
  </si>
  <si>
    <t>Projected</t>
  </si>
  <si>
    <t>Assets:</t>
  </si>
  <si>
    <t>Cash and Due from Banks:</t>
  </si>
  <si>
    <t>Federal Funds Sold:</t>
  </si>
  <si>
    <t>Net Loans:</t>
  </si>
  <si>
    <t>Goodwill:</t>
  </si>
  <si>
    <t>Total Assets:</t>
  </si>
  <si>
    <t>Liabilities:</t>
  </si>
  <si>
    <t>Deposits:</t>
  </si>
  <si>
    <t>Federal Funds Purchased:</t>
  </si>
  <si>
    <t>Long-Term Debt:</t>
  </si>
  <si>
    <t>Total Liabilities:</t>
  </si>
  <si>
    <t>Balance Check:</t>
  </si>
  <si>
    <t>Cash % Deposits:</t>
  </si>
  <si>
    <t>Securities % Growth:</t>
  </si>
  <si>
    <t>Long-Term Debt % Loans:</t>
  </si>
  <si>
    <t>Federal Funds Calculation:</t>
  </si>
  <si>
    <t>Net Income to Common:</t>
  </si>
  <si>
    <t>Total Assets + Prior Year Fed Funds Sold:</t>
  </si>
  <si>
    <t>Total L&amp;E + Prior Year Fed Funds Purchased:</t>
  </si>
  <si>
    <t>Increase in Fed Funds Sold:</t>
  </si>
  <si>
    <t>Increase in Fed Funds Purchased:</t>
  </si>
  <si>
    <t>Risk-Weighted Assets:</t>
  </si>
  <si>
    <t>Dividend Payout Ratio:</t>
  </si>
  <si>
    <t>Gross Loans % Growth:</t>
  </si>
  <si>
    <t>Allowance for LLs % Loans:</t>
  </si>
  <si>
    <t>Common Dividends Issued:</t>
  </si>
  <si>
    <t>Transaction Adjustments</t>
  </si>
  <si>
    <t>Debit</t>
  </si>
  <si>
    <t>Credit</t>
  </si>
  <si>
    <t>Deposits % Loans:</t>
  </si>
  <si>
    <t>Sources:</t>
  </si>
  <si>
    <t>Uses:</t>
  </si>
  <si>
    <t>Transaction Fees:</t>
  </si>
  <si>
    <t>Total Uses:</t>
  </si>
  <si>
    <t>Total Sources:</t>
  </si>
  <si>
    <t>Investor Equity:</t>
  </si>
  <si>
    <t>Goodwill Calculation:</t>
  </si>
  <si>
    <t>Equity Purchase Price:</t>
  </si>
  <si>
    <t>Total Allocable Purchase Premium:</t>
  </si>
  <si>
    <t>Total Goodwill Created:</t>
  </si>
  <si>
    <t>Intangible Asset Write-Up:</t>
  </si>
  <si>
    <t>Purchase Price to Allocate:</t>
  </si>
  <si>
    <t>Amortization Period (Years):</t>
  </si>
  <si>
    <t>New Deferred Tax Liability:</t>
  </si>
  <si>
    <t>Deferred Tax Liability:</t>
  </si>
  <si>
    <t>Net Cash Flows to Investors:</t>
  </si>
  <si>
    <t>Dividends:</t>
  </si>
  <si>
    <t>Total Net Cash Flows:</t>
  </si>
  <si>
    <t>Cost of Equity:</t>
  </si>
  <si>
    <t>($ in Millions USD Except Per Share Data)</t>
  </si>
  <si>
    <t>Transaction Assumptions:</t>
  </si>
  <si>
    <t>Company Name:</t>
  </si>
  <si>
    <t>Tax Rate:</t>
  </si>
  <si>
    <t>ASSETS:</t>
  </si>
  <si>
    <t>Units:</t>
  </si>
  <si>
    <t>Balance Sheet:</t>
  </si>
  <si>
    <t>Other Intangible Assets:</t>
  </si>
  <si>
    <t>Gross Loans:</t>
  </si>
  <si>
    <t>(-) Allowance for Loan Losses:</t>
  </si>
  <si>
    <t>AFS and HTM Securities:</t>
  </si>
  <si>
    <t>$ M</t>
  </si>
  <si>
    <t>Common Equity Tier 1 (CET 1) Target:</t>
  </si>
  <si>
    <t>Income Statement:</t>
  </si>
  <si>
    <t>LIABILITIES &amp; EQUITY:</t>
  </si>
  <si>
    <t>Equity Purchase Price of Target:</t>
  </si>
  <si>
    <t>(-) Seller Common Book Value:</t>
  </si>
  <si>
    <t>(+) Write-Off of Existing Goodwill:</t>
  </si>
  <si>
    <t>Core Deposit Intangibles:</t>
  </si>
  <si>
    <t>Sources &amp; Uses of Funds:</t>
  </si>
  <si>
    <t>Purchase Price Allocation:</t>
  </si>
  <si>
    <t>Total Equity:</t>
  </si>
  <si>
    <t>CHECK:</t>
  </si>
  <si>
    <t>Cash for Transaction Fees:</t>
  </si>
  <si>
    <t>Fee Percentage:</t>
  </si>
  <si>
    <t>MidFirst Bank</t>
  </si>
  <si>
    <t>(-) Core Deposit Intangibles (CDI) Created:</t>
  </si>
  <si>
    <t>(-) Write-Up of Intangibles:</t>
  </si>
  <si>
    <t>(+) New Deferred Tax Liability:</t>
  </si>
  <si>
    <t>Balance Sheet Drivers:</t>
  </si>
  <si>
    <t>Other Long-Term Assets:</t>
  </si>
  <si>
    <t>Regulatory Capital:</t>
  </si>
  <si>
    <t>Accounts Payable:</t>
  </si>
  <si>
    <t>Total Liabilities &amp; Equity:</t>
  </si>
  <si>
    <t>Purchase P / TBV Multiple:</t>
  </si>
  <si>
    <t>Core Deposits % Total:</t>
  </si>
  <si>
    <t>Total Core Deposits:</t>
  </si>
  <si>
    <t>Core Deposit Intangibles % Core Deposits:</t>
  </si>
  <si>
    <t>Indefinite-Lived Intangibles:</t>
  </si>
  <si>
    <t>% Allocated to Indefinite-Lived Intangibles:</t>
  </si>
  <si>
    <t>Other Long-Term Assets % Deposits:</t>
  </si>
  <si>
    <t>Accounts Payable % Loans:</t>
  </si>
  <si>
    <t>(-) Write-Down of Allowance for Loan Losses:</t>
  </si>
  <si>
    <t>(+) Write-Down of Intangibles:</t>
  </si>
  <si>
    <t>(-) Goodwill:</t>
  </si>
  <si>
    <t>(-) Other Intangible Assets:</t>
  </si>
  <si>
    <t>Common Equity Tier 1 (CET 1):</t>
  </si>
  <si>
    <t>Common Equity Tier 1 Ratio:</t>
  </si>
  <si>
    <t>%</t>
  </si>
  <si>
    <t>Targeted CET 1:</t>
  </si>
  <si>
    <t>Allowed Dividends:</t>
  </si>
  <si>
    <t>RWA % IEA:</t>
  </si>
  <si>
    <t>(-) Core Deposit Intangibles:</t>
  </si>
  <si>
    <t>Investor Returns:</t>
  </si>
  <si>
    <t>Calculate Exit P / TBV Multiple? (1 = Yes, 0 = No)</t>
  </si>
  <si>
    <t>Calculated Exit  P / TBV Multiple:</t>
  </si>
  <si>
    <t>Final Year Return on Tangible Common Equity:</t>
  </si>
  <si>
    <t>Final Year Net Income to Common Growth Rate:</t>
  </si>
  <si>
    <t>Net Income to Common Growth Rate:</t>
  </si>
  <si>
    <t>Internal Rate of Return (IRR):</t>
  </si>
  <si>
    <t>Money-on-Money (MoM) Multiple:</t>
  </si>
  <si>
    <t>Selected Exit P / TBV Multiple:</t>
  </si>
  <si>
    <t>Multiple Expansion Over Purchase P / TBV Multiple:</t>
  </si>
  <si>
    <t>Pre-Transaction Tangible Book Value (and CET 1):</t>
  </si>
  <si>
    <t>Pre-Transaction Return on Assets (ROA):</t>
  </si>
  <si>
    <t>(+) ROA Improvement:</t>
  </si>
  <si>
    <t>Return on Assets Improvement:</t>
  </si>
  <si>
    <t>Post-Transaction Return on Assets (ROA):</t>
  </si>
  <si>
    <t>Return on Tangible Common Equity (ROTCE):</t>
  </si>
  <si>
    <t>(+/-) Investor Equity:</t>
  </si>
  <si>
    <t>(+) Dividends:</t>
  </si>
  <si>
    <t>Loan Marks:</t>
  </si>
  <si>
    <t>FMV of Gross Loans % Book Value:</t>
  </si>
  <si>
    <t>Mark-to-Market Adjustment on Gross Loans:</t>
  </si>
  <si>
    <t>Average Maturity of Loans (Years):</t>
  </si>
  <si>
    <t>Gross Loans Prior to Marks:</t>
  </si>
  <si>
    <t>Remaining Mark-to-Market Balance to Amortize:</t>
  </si>
  <si>
    <t>(+) Loan Marks:</t>
  </si>
  <si>
    <t>Returns Attribution Analysis:</t>
  </si>
  <si>
    <t>Total Return to Equity Investors:</t>
  </si>
  <si>
    <t>TBV Growth:</t>
  </si>
  <si>
    <t>x</t>
  </si>
  <si>
    <t>Improvement / (Decline) in Return on Assets (ROA):</t>
  </si>
  <si>
    <t>Sensitivity Analyses - 5-Year IRR vs. Purchase Multiple, Exit Multiple, and ROA Improvement:</t>
  </si>
  <si>
    <t>P / TBV Multiple Expansion:</t>
  </si>
  <si>
    <t>Lesson Notes:</t>
  </si>
  <si>
    <t>Purchase price is almost always based on a P/TBV or P/BV multiple, or a share-price premium for a public company.</t>
  </si>
  <si>
    <r>
      <t>Key Question:</t>
    </r>
    <r>
      <rPr>
        <sz val="12"/>
        <color theme="1"/>
        <rFont val="Calibri"/>
        <family val="2"/>
        <scheme val="minor"/>
      </rPr>
      <t xml:space="preserve"> How much will this improve by the end of the period? Can assume either a certain percentage expansion or re-calculate</t>
    </r>
  </si>
  <si>
    <t>the multiple based on the standard formula.</t>
  </si>
  <si>
    <t>Very, very standard. Avoiding circular references.</t>
  </si>
  <si>
    <t>Pretty much the same adjustments as in an M&amp;A model, but we're simplifying them a bit and only including marks on Gross Loans, not</t>
  </si>
  <si>
    <t>all the other potential Assets/Liabilities.</t>
  </si>
  <si>
    <t>Since it's a deal for 100% of the company, we still write down the Seller's entire Common Shareholders' Equity.</t>
  </si>
  <si>
    <t>And CDI still get created, we write down the Allowance for LLs, etc.</t>
  </si>
  <si>
    <r>
      <t xml:space="preserve">Pretty standard adjustments, but watch out for the Gross Loans balance - we are linking to the numbers </t>
    </r>
    <r>
      <rPr>
        <i/>
        <sz val="12"/>
        <color theme="1"/>
        <rFont val="Calibri"/>
        <family val="2"/>
        <scheme val="minor"/>
      </rPr>
      <t xml:space="preserve">before the mark-to-market </t>
    </r>
  </si>
  <si>
    <r>
      <t>adjustments</t>
    </r>
    <r>
      <rPr>
        <sz val="12"/>
        <color theme="1"/>
        <rFont val="Calibri"/>
        <family val="2"/>
        <scheme val="minor"/>
      </rPr>
      <t xml:space="preserve"> because those adjustments shouldn't affect the Deposits or other funding sources. They only affect the book value of the Loans.</t>
    </r>
  </si>
  <si>
    <t>linking to the projected numbers before the write-down and then making the transaction adjustments in each period.</t>
  </si>
  <si>
    <t>CDI changes by annual amortization.</t>
  </si>
  <si>
    <t>DTL changes by CDI Amortization * Tax Rate.</t>
  </si>
  <si>
    <t>High-growth bank, so Loans grow well in-excess of the U.S. GDP as a whole.</t>
  </si>
  <si>
    <t>Other items use simply growth rates or %'s of Loans or Deposits, as usual.</t>
  </si>
  <si>
    <t>Standard setup for the balancers (Fed Funds Sold and Purchased).</t>
  </si>
  <si>
    <t>As a simplification, we're assuming CET 1 = TBV here (usually pretty close).</t>
  </si>
  <si>
    <t>No "targeted" Dividend Payout Ratio - we simply pay out whatever we can based on the CET 1 level and target.</t>
  </si>
  <si>
    <t>Always stay above the target because the bank is growing quickly, and we're using the beginning RWA balance to avoid circular references.</t>
  </si>
  <si>
    <t>VERY, very simple - ROA is slightly better to use for this bank due to the extremely high ROTCE. Beginning balance for Net Income because</t>
  </si>
  <si>
    <t>once again, we want to avoid circular references.</t>
  </si>
  <si>
    <t>We're simplifying the entire IS to avoid the need to project IEA/IBL and interest rates and yields; much easier to take a higher-level view</t>
  </si>
  <si>
    <t>and focus strictly on the Returns-based metrics and how they might change in the deal.</t>
  </si>
  <si>
    <t>We need to calculate the ROTCE at the end so we can calculate the P / TBV Exit Multiple.</t>
  </si>
  <si>
    <t>Just like a normal LBO, but the concept of Enterprise Value is not applicable here, so we only work with Equity Value and Equity Value-based</t>
  </si>
  <si>
    <t>multiples such as P / TBV.</t>
  </si>
  <si>
    <t>Pay upfront for 100% of the bank's equity, earn 100% of the bank's Dividends, and then we sell it for some P / TBV multiple at the end.</t>
  </si>
  <si>
    <t>Cost of Equity stays the same (or so we assume), so the NI Growth and ROTCE are the main factors that impact this multiple.</t>
  </si>
  <si>
    <t xml:space="preserve">Returns Attribution: As with normal companies, we want to see most of the returns coming from growth and dividends, not from </t>
  </si>
  <si>
    <t>multiple expansion… though with banks, at least that multiple expansion is a bit easier to justify.</t>
  </si>
  <si>
    <r>
      <t xml:space="preserve">Sensitivities: Deal is mostly about buying low and selling high; the ROA improvement is nice, but unless it </t>
    </r>
    <r>
      <rPr>
        <i/>
        <sz val="12"/>
        <color theme="1"/>
        <rFont val="Calibri"/>
        <family val="2"/>
        <scheme val="minor"/>
      </rPr>
      <t>seriously</t>
    </r>
    <r>
      <rPr>
        <sz val="12"/>
        <color theme="1"/>
        <rFont val="Calibri"/>
        <family val="2"/>
        <scheme val="minor"/>
      </rPr>
      <t xml:space="preserve"> picks up, a small</t>
    </r>
  </si>
  <si>
    <t>increase won't move the needle.</t>
  </si>
  <si>
    <t xml:space="preserve">Allowance for LLs - Whole amount is written down in the deal, but we can still reflect the Net Charge-Offs and Provisions for CLs 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</si>
</sst>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5" formatCode="&quot;$&quot;#,##0_);\(&quot;$&quot;#,##0\);&quot;OK!&quot;;&quot;ERROR&quot;"/>
    <numFmt numFmtId="166" formatCode="_(* #,##0.0_);_(* \(#,##0.0\);_(* &quot;-&quot;?_);_(@_)"/>
    <numFmt numFmtId="167" formatCode="0.00%;\(0.00%\)"/>
    <numFmt numFmtId="168" formatCode="0.0%;\(0.0%\)"/>
    <numFmt numFmtId="169" formatCode="0.00\ \x;\(0.00\ \x\)"/>
    <numFmt numFmtId="170" formatCode="_(&quot;$&quot;* #,##0.0_);_(&quot;$&quot;* \(#,##0.0\);_(&quot;$&quot;* &quot;-&quot;?_);_(@_)"/>
    <numFmt numFmtId="171" formatCode="yyyy\-mm\-dd"/>
    <numFmt numFmtId="172" formatCode="&quot;FY&quot;\ yy"/>
    <numFmt numFmtId="173" formatCode="0.0%_);\(0.0%\);\-_%_);@_)"/>
    <numFmt numFmtId="174" formatCode="&quot;$&quot;#,##0.0_);\(&quot;$&quot;#,##0.0\);&quot;OK!&quot;;&quot;ERROR&quot;"/>
    <numFmt numFmtId="175" formatCode="_(&quot;$&quot;* #,##0.0_);_(&quot;$&quot;* \(#,##0.0\);_(&quot;$&quot;* &quot;-&quot;_);_(@_)"/>
    <numFmt numFmtId="176" formatCode="_(* #,##0.0_);_(* \(#,##0.0\);_(* &quot;-&quot;_);_(@_)"/>
    <numFmt numFmtId="177" formatCode="0.0"/>
    <numFmt numFmtId="178" formatCode="_(&quot;$&quot;* #,##0.0_);_(&quot;$&quot;* \(#,##0.0\);_(&quot;$&quot;* &quot;-&quot;??_);_(@_)"/>
    <numFmt numFmtId="179" formatCode="&quot;Yes&quot;;&quot;&quot;;&quot;No&quot;;&quot;&quot;"/>
    <numFmt numFmtId="180" formatCode="0.0\ \x_);\(0.0\ \x\);\-_);@_)"/>
    <numFmt numFmtId="181" formatCode="_(* #,##0.0_);_(* \(#,##0.0\);_(* &quot;-&quot;??_);_(@_)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u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theme="4"/>
      <name val="Calibri"/>
      <family val="2"/>
    </font>
    <font>
      <b/>
      <sz val="12"/>
      <color theme="4"/>
      <name val="Calibri"/>
      <family val="2"/>
    </font>
    <font>
      <sz val="12"/>
      <color indexed="62"/>
      <name val="Calibri"/>
      <family val="2"/>
    </font>
    <font>
      <sz val="12"/>
      <name val="Calibri"/>
      <family val="2"/>
    </font>
    <font>
      <sz val="12"/>
      <color theme="4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2"/>
      <color indexed="62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rgb="FF0000FF"/>
      <name val="Calibri"/>
      <family val="2"/>
    </font>
    <font>
      <b/>
      <sz val="12"/>
      <color rgb="FF0000FF"/>
      <name val="Calibri"/>
      <family val="2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theme="0" tint="-0.24994659260841701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rgb="FFB2B2B2"/>
      </right>
      <top style="thin">
        <color theme="0" tint="-0.1499679555650502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theme="0" tint="-0.14996795556505021"/>
      </top>
      <bottom style="thin">
        <color rgb="FFB2B2B2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</borders>
  <cellStyleXfs count="3">
    <xf numFmtId="0" fontId="0" fillId="0" borderId="0"/>
    <xf numFmtId="0" fontId="5" fillId="0" borderId="0"/>
    <xf numFmtId="0" fontId="6" fillId="2" borderId="12" applyNumberFormat="0" applyFont="0" applyAlignment="0" applyProtection="0"/>
  </cellStyleXfs>
  <cellXfs count="319">
    <xf numFmtId="0" fontId="0" fillId="0" borderId="0" xfId="0"/>
    <xf numFmtId="0" fontId="9" fillId="0" borderId="0" xfId="0" applyFont="1"/>
    <xf numFmtId="0" fontId="10" fillId="0" borderId="0" xfId="0" applyFont="1" applyBorder="1"/>
    <xf numFmtId="0" fontId="10" fillId="0" borderId="0" xfId="0" applyFont="1"/>
    <xf numFmtId="0" fontId="11" fillId="0" borderId="0" xfId="0" applyFont="1"/>
    <xf numFmtId="0" fontId="15" fillId="0" borderId="0" xfId="0" applyFont="1" applyBorder="1"/>
    <xf numFmtId="0" fontId="11" fillId="0" borderId="0" xfId="0" applyFont="1" applyBorder="1"/>
    <xf numFmtId="168" fontId="16" fillId="0" borderId="0" xfId="0" applyNumberFormat="1" applyFont="1" applyBorder="1"/>
    <xf numFmtId="166" fontId="16" fillId="0" borderId="0" xfId="0" applyNumberFormat="1" applyFont="1" applyBorder="1"/>
    <xf numFmtId="169" fontId="10" fillId="0" borderId="0" xfId="0" applyNumberFormat="1" applyFont="1" applyBorder="1"/>
    <xf numFmtId="168" fontId="19" fillId="0" borderId="0" xfId="0" applyNumberFormat="1" applyFont="1" applyBorder="1"/>
    <xf numFmtId="0" fontId="10" fillId="0" borderId="3" xfId="0" applyFont="1" applyBorder="1"/>
    <xf numFmtId="0" fontId="10" fillId="0" borderId="0" xfId="0" applyFont="1" applyBorder="1" applyAlignment="1">
      <alignment horizontal="left" indent="1"/>
    </xf>
    <xf numFmtId="168" fontId="20" fillId="0" borderId="0" xfId="0" applyNumberFormat="1" applyFont="1" applyBorder="1"/>
    <xf numFmtId="0" fontId="10" fillId="0" borderId="0" xfId="0" applyFont="1" applyFill="1" applyBorder="1" applyAlignment="1">
      <alignment horizontal="left" indent="1"/>
    </xf>
    <xf numFmtId="41" fontId="20" fillId="0" borderId="0" xfId="0" applyNumberFormat="1" applyFont="1" applyBorder="1"/>
    <xf numFmtId="0" fontId="21" fillId="0" borderId="0" xfId="0" applyFont="1" applyFill="1" applyBorder="1" applyAlignment="1">
      <alignment horizontal="left"/>
    </xf>
    <xf numFmtId="0" fontId="10" fillId="0" borderId="1" xfId="0" applyFont="1" applyBorder="1"/>
    <xf numFmtId="0" fontId="10" fillId="0" borderId="7" xfId="0" applyFont="1" applyBorder="1"/>
    <xf numFmtId="0" fontId="10" fillId="0" borderId="9" xfId="0" applyFont="1" applyBorder="1"/>
    <xf numFmtId="41" fontId="22" fillId="0" borderId="0" xfId="1" applyNumberFormat="1" applyFont="1" applyBorder="1"/>
    <xf numFmtId="0" fontId="11" fillId="0" borderId="9" xfId="0" applyFont="1" applyBorder="1"/>
    <xf numFmtId="0" fontId="10" fillId="0" borderId="0" xfId="0" applyFont="1" applyAlignment="1">
      <alignment horizontal="left" indent="1"/>
    </xf>
    <xf numFmtId="0" fontId="10" fillId="0" borderId="6" xfId="0" applyFont="1" applyBorder="1"/>
    <xf numFmtId="42" fontId="23" fillId="0" borderId="7" xfId="0" applyNumberFormat="1" applyFont="1" applyBorder="1"/>
    <xf numFmtId="41" fontId="16" fillId="0" borderId="0" xfId="0" applyNumberFormat="1" applyFont="1" applyBorder="1"/>
    <xf numFmtId="41" fontId="17" fillId="0" borderId="0" xfId="0" applyNumberFormat="1" applyFont="1" applyBorder="1"/>
    <xf numFmtId="41" fontId="16" fillId="0" borderId="1" xfId="0" applyNumberFormat="1" applyFont="1" applyBorder="1"/>
    <xf numFmtId="41" fontId="23" fillId="0" borderId="7" xfId="0" applyNumberFormat="1" applyFont="1" applyBorder="1"/>
    <xf numFmtId="41" fontId="19" fillId="0" borderId="0" xfId="0" applyNumberFormat="1" applyFont="1" applyBorder="1"/>
    <xf numFmtId="41" fontId="18" fillId="0" borderId="0" xfId="0" applyNumberFormat="1" applyFont="1" applyBorder="1"/>
    <xf numFmtId="41" fontId="24" fillId="0" borderId="0" xfId="0" applyNumberFormat="1" applyFont="1" applyBorder="1"/>
    <xf numFmtId="41" fontId="10" fillId="0" borderId="0" xfId="0" applyNumberFormat="1" applyFont="1"/>
    <xf numFmtId="41" fontId="19" fillId="0" borderId="1" xfId="0" applyNumberFormat="1" applyFont="1" applyBorder="1"/>
    <xf numFmtId="0" fontId="10" fillId="0" borderId="0" xfId="0" applyFont="1" applyFill="1" applyBorder="1"/>
    <xf numFmtId="0" fontId="10" fillId="0" borderId="0" xfId="0" applyFont="1" applyFill="1"/>
    <xf numFmtId="0" fontId="15" fillId="0" borderId="1" xfId="0" applyFont="1" applyBorder="1"/>
    <xf numFmtId="165" fontId="10" fillId="0" borderId="0" xfId="0" applyNumberFormat="1" applyFont="1" applyBorder="1"/>
    <xf numFmtId="165" fontId="10" fillId="0" borderId="6" xfId="0" applyNumberFormat="1" applyFont="1" applyBorder="1"/>
    <xf numFmtId="165" fontId="10" fillId="0" borderId="9" xfId="0" applyNumberFormat="1" applyFont="1" applyBorder="1"/>
    <xf numFmtId="165" fontId="10" fillId="0" borderId="10" xfId="0" applyNumberFormat="1" applyFont="1" applyBorder="1"/>
    <xf numFmtId="42" fontId="23" fillId="0" borderId="0" xfId="0" applyNumberFormat="1" applyFont="1" applyBorder="1"/>
    <xf numFmtId="42" fontId="23" fillId="0" borderId="1" xfId="0" applyNumberFormat="1" applyFont="1" applyBorder="1"/>
    <xf numFmtId="165" fontId="10" fillId="0" borderId="1" xfId="0" applyNumberFormat="1" applyFont="1" applyBorder="1"/>
    <xf numFmtId="41" fontId="23" fillId="0" borderId="0" xfId="0" applyNumberFormat="1" applyFont="1" applyBorder="1"/>
    <xf numFmtId="41" fontId="23" fillId="0" borderId="1" xfId="0" applyNumberFormat="1" applyFont="1" applyBorder="1"/>
    <xf numFmtId="168" fontId="15" fillId="0" borderId="0" xfId="0" applyNumberFormat="1" applyFont="1" applyBorder="1"/>
    <xf numFmtId="168" fontId="15" fillId="0" borderId="1" xfId="0" applyNumberFormat="1" applyFont="1" applyBorder="1"/>
    <xf numFmtId="168" fontId="15" fillId="0" borderId="7" xfId="0" applyNumberFormat="1" applyFont="1" applyBorder="1"/>
    <xf numFmtId="168" fontId="10" fillId="0" borderId="0" xfId="0" applyNumberFormat="1" applyFont="1" applyBorder="1"/>
    <xf numFmtId="167" fontId="10" fillId="0" borderId="0" xfId="0" applyNumberFormat="1" applyFont="1" applyBorder="1"/>
    <xf numFmtId="167" fontId="15" fillId="0" borderId="0" xfId="0" applyNumberFormat="1" applyFont="1" applyBorder="1"/>
    <xf numFmtId="167" fontId="15" fillId="0" borderId="1" xfId="0" applyNumberFormat="1" applyFont="1" applyBorder="1"/>
    <xf numFmtId="167" fontId="15" fillId="0" borderId="7" xfId="0" applyNumberFormat="1" applyFont="1" applyBorder="1"/>
    <xf numFmtId="41" fontId="17" fillId="0" borderId="1" xfId="0" applyNumberFormat="1" applyFont="1" applyBorder="1"/>
    <xf numFmtId="41" fontId="17" fillId="0" borderId="7" xfId="0" applyNumberFormat="1" applyFont="1" applyBorder="1"/>
    <xf numFmtId="0" fontId="15" fillId="0" borderId="7" xfId="0" applyFont="1" applyBorder="1"/>
    <xf numFmtId="41" fontId="15" fillId="0" borderId="0" xfId="0" applyNumberFormat="1" applyFont="1" applyBorder="1"/>
    <xf numFmtId="41" fontId="15" fillId="0" borderId="1" xfId="0" applyNumberFormat="1" applyFont="1" applyBorder="1"/>
    <xf numFmtId="41" fontId="15" fillId="0" borderId="7" xfId="0" applyNumberFormat="1" applyFont="1" applyBorder="1"/>
    <xf numFmtId="41" fontId="17" fillId="0" borderId="6" xfId="0" applyNumberFormat="1" applyFont="1" applyBorder="1"/>
    <xf numFmtId="41" fontId="17" fillId="0" borderId="9" xfId="0" applyNumberFormat="1" applyFont="1" applyBorder="1"/>
    <xf numFmtId="41" fontId="17" fillId="0" borderId="10" xfId="0" applyNumberFormat="1" applyFont="1" applyBorder="1"/>
    <xf numFmtId="168" fontId="10" fillId="0" borderId="9" xfId="0" applyNumberFormat="1" applyFont="1" applyBorder="1"/>
    <xf numFmtId="168" fontId="11" fillId="0" borderId="9" xfId="0" applyNumberFormat="1" applyFont="1" applyBorder="1"/>
    <xf numFmtId="168" fontId="23" fillId="0" borderId="9" xfId="0" applyNumberFormat="1" applyFont="1" applyBorder="1"/>
    <xf numFmtId="42" fontId="15" fillId="0" borderId="1" xfId="0" applyNumberFormat="1" applyFont="1" applyBorder="1"/>
    <xf numFmtId="42" fontId="15" fillId="0" borderId="0" xfId="0" applyNumberFormat="1" applyFont="1" applyBorder="1"/>
    <xf numFmtId="42" fontId="15" fillId="0" borderId="7" xfId="0" applyNumberFormat="1" applyFont="1" applyBorder="1"/>
    <xf numFmtId="0" fontId="26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6" fontId="10" fillId="0" borderId="0" xfId="0" applyNumberFormat="1" applyFont="1" applyBorder="1"/>
    <xf numFmtId="6" fontId="10" fillId="0" borderId="9" xfId="0" applyNumberFormat="1" applyFont="1" applyBorder="1"/>
    <xf numFmtId="0" fontId="12" fillId="3" borderId="3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10" fillId="3" borderId="3" xfId="0" applyFont="1" applyFill="1" applyBorder="1"/>
    <xf numFmtId="0" fontId="25" fillId="0" borderId="0" xfId="0" applyFont="1" applyBorder="1"/>
    <xf numFmtId="171" fontId="28" fillId="4" borderId="12" xfId="0" applyNumberFormat="1" applyFont="1" applyFill="1" applyBorder="1" applyAlignment="1">
      <alignment horizontal="center"/>
    </xf>
    <xf numFmtId="0" fontId="28" fillId="4" borderId="13" xfId="0" applyNumberFormat="1" applyFont="1" applyFill="1" applyBorder="1" applyAlignment="1">
      <alignment horizontal="centerContinuous"/>
    </xf>
    <xf numFmtId="0" fontId="15" fillId="0" borderId="9" xfId="0" applyFont="1" applyBorder="1"/>
    <xf numFmtId="0" fontId="21" fillId="3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7" fillId="3" borderId="14" xfId="0" applyFont="1" applyFill="1" applyBorder="1" applyAlignment="1">
      <alignment horizontal="centerContinuous"/>
    </xf>
    <xf numFmtId="172" fontId="27" fillId="3" borderId="15" xfId="0" applyNumberFormat="1" applyFont="1" applyFill="1" applyBorder="1" applyAlignment="1">
      <alignment horizontal="center"/>
    </xf>
    <xf numFmtId="172" fontId="27" fillId="3" borderId="16" xfId="0" applyNumberFormat="1" applyFont="1" applyFill="1" applyBorder="1" applyAlignment="1">
      <alignment horizontal="center"/>
    </xf>
    <xf numFmtId="0" fontId="21" fillId="3" borderId="3" xfId="0" applyFont="1" applyFill="1" applyBorder="1" applyAlignment="1">
      <alignment horizontal="left"/>
    </xf>
    <xf numFmtId="172" fontId="27" fillId="3" borderId="17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5" borderId="4" xfId="0" applyFont="1" applyFill="1" applyBorder="1"/>
    <xf numFmtId="0" fontId="10" fillId="5" borderId="4" xfId="0" applyFont="1" applyFill="1" applyBorder="1"/>
    <xf numFmtId="0" fontId="29" fillId="6" borderId="3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173" fontId="28" fillId="4" borderId="12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5" borderId="5" xfId="0" applyFont="1" applyFill="1" applyBorder="1"/>
    <xf numFmtId="0" fontId="10" fillId="5" borderId="11" xfId="0" applyFont="1" applyFill="1" applyBorder="1"/>
    <xf numFmtId="0" fontId="11" fillId="5" borderId="3" xfId="0" applyFont="1" applyFill="1" applyBorder="1" applyAlignment="1">
      <alignment horizontal="centerContinuous"/>
    </xf>
    <xf numFmtId="0" fontId="11" fillId="5" borderId="3" xfId="0" applyFont="1" applyFill="1" applyBorder="1" applyAlignment="1"/>
    <xf numFmtId="0" fontId="11" fillId="5" borderId="3" xfId="0" applyFont="1" applyFill="1" applyBorder="1"/>
    <xf numFmtId="0" fontId="10" fillId="5" borderId="3" xfId="0" applyFont="1" applyFill="1" applyBorder="1"/>
    <xf numFmtId="164" fontId="11" fillId="0" borderId="0" xfId="0" applyNumberFormat="1" applyFont="1" applyBorder="1"/>
    <xf numFmtId="164" fontId="11" fillId="0" borderId="1" xfId="0" applyNumberFormat="1" applyFont="1" applyBorder="1"/>
    <xf numFmtId="0" fontId="10" fillId="7" borderId="4" xfId="0" applyFont="1" applyFill="1" applyBorder="1" applyAlignment="1">
      <alignment horizontal="left"/>
    </xf>
    <xf numFmtId="0" fontId="32" fillId="7" borderId="4" xfId="0" applyFont="1" applyFill="1" applyBorder="1" applyAlignment="1">
      <alignment horizontal="center"/>
    </xf>
    <xf numFmtId="41" fontId="30" fillId="7" borderId="4" xfId="0" applyNumberFormat="1" applyFont="1" applyFill="1" applyBorder="1"/>
    <xf numFmtId="42" fontId="11" fillId="0" borderId="0" xfId="0" applyNumberFormat="1" applyFont="1" applyBorder="1"/>
    <xf numFmtId="174" fontId="11" fillId="0" borderId="0" xfId="0" applyNumberFormat="1" applyFont="1" applyBorder="1"/>
    <xf numFmtId="170" fontId="10" fillId="0" borderId="0" xfId="0" applyNumberFormat="1" applyFont="1"/>
    <xf numFmtId="0" fontId="11" fillId="0" borderId="0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indent="1"/>
    </xf>
    <xf numFmtId="173" fontId="28" fillId="0" borderId="0" xfId="0" applyNumberFormat="1" applyFont="1" applyFill="1" applyBorder="1" applyAlignment="1">
      <alignment horizontal="center"/>
    </xf>
    <xf numFmtId="171" fontId="28" fillId="0" borderId="0" xfId="0" applyNumberFormat="1" applyFont="1" applyFill="1" applyBorder="1" applyAlignment="1">
      <alignment horizontal="center"/>
    </xf>
    <xf numFmtId="170" fontId="30" fillId="0" borderId="0" xfId="0" applyNumberFormat="1" applyFont="1" applyBorder="1"/>
    <xf numFmtId="166" fontId="30" fillId="0" borderId="0" xfId="0" applyNumberFormat="1" applyFont="1" applyBorder="1"/>
    <xf numFmtId="166" fontId="30" fillId="0" borderId="3" xfId="0" applyNumberFormat="1" applyFont="1" applyBorder="1"/>
    <xf numFmtId="166" fontId="23" fillId="0" borderId="9" xfId="0" applyNumberFormat="1" applyFont="1" applyBorder="1"/>
    <xf numFmtId="0" fontId="4" fillId="0" borderId="0" xfId="0" applyFont="1" applyBorder="1" applyAlignment="1">
      <alignment horizontal="left"/>
    </xf>
    <xf numFmtId="175" fontId="30" fillId="0" borderId="1" xfId="0" applyNumberFormat="1" applyFont="1" applyBorder="1"/>
    <xf numFmtId="175" fontId="19" fillId="0" borderId="0" xfId="0" applyNumberFormat="1" applyFont="1" applyBorder="1"/>
    <xf numFmtId="175" fontId="19" fillId="0" borderId="7" xfId="0" applyNumberFormat="1" applyFont="1" applyBorder="1"/>
    <xf numFmtId="175" fontId="18" fillId="0" borderId="1" xfId="0" applyNumberFormat="1" applyFont="1" applyBorder="1"/>
    <xf numFmtId="175" fontId="18" fillId="0" borderId="0" xfId="0" applyNumberFormat="1" applyFont="1" applyBorder="1"/>
    <xf numFmtId="175" fontId="18" fillId="0" borderId="7" xfId="0" applyNumberFormat="1" applyFont="1" applyBorder="1"/>
    <xf numFmtId="175" fontId="23" fillId="0" borderId="7" xfId="0" applyNumberFormat="1" applyFont="1" applyBorder="1"/>
    <xf numFmtId="175" fontId="24" fillId="0" borderId="1" xfId="0" applyNumberFormat="1" applyFont="1" applyBorder="1"/>
    <xf numFmtId="175" fontId="24" fillId="0" borderId="0" xfId="0" applyNumberFormat="1" applyFont="1" applyBorder="1"/>
    <xf numFmtId="175" fontId="24" fillId="0" borderId="7" xfId="0" applyNumberFormat="1" applyFont="1" applyBorder="1"/>
    <xf numFmtId="175" fontId="16" fillId="0" borderId="1" xfId="0" applyNumberFormat="1" applyFont="1" applyBorder="1"/>
    <xf numFmtId="175" fontId="16" fillId="0" borderId="0" xfId="0" applyNumberFormat="1" applyFont="1" applyBorder="1"/>
    <xf numFmtId="175" fontId="15" fillId="0" borderId="1" xfId="0" applyNumberFormat="1" applyFont="1" applyBorder="1"/>
    <xf numFmtId="175" fontId="15" fillId="0" borderId="0" xfId="0" applyNumberFormat="1" applyFont="1" applyBorder="1"/>
    <xf numFmtId="175" fontId="15" fillId="0" borderId="7" xfId="0" applyNumberFormat="1" applyFont="1" applyBorder="1"/>
    <xf numFmtId="175" fontId="10" fillId="5" borderId="5" xfId="0" applyNumberFormat="1" applyFont="1" applyFill="1" applyBorder="1"/>
    <xf numFmtId="175" fontId="10" fillId="5" borderId="4" xfId="0" applyNumberFormat="1" applyFont="1" applyFill="1" applyBorder="1"/>
    <xf numFmtId="175" fontId="10" fillId="5" borderId="11" xfId="0" applyNumberFormat="1" applyFont="1" applyFill="1" applyBorder="1"/>
    <xf numFmtId="175" fontId="10" fillId="0" borderId="1" xfId="0" applyNumberFormat="1" applyFont="1" applyBorder="1"/>
    <xf numFmtId="175" fontId="10" fillId="0" borderId="0" xfId="0" applyNumberFormat="1" applyFont="1" applyBorder="1"/>
    <xf numFmtId="175" fontId="10" fillId="0" borderId="7" xfId="0" applyNumberFormat="1" applyFont="1" applyBorder="1"/>
    <xf numFmtId="175" fontId="15" fillId="0" borderId="6" xfId="0" applyNumberFormat="1" applyFont="1" applyBorder="1"/>
    <xf numFmtId="175" fontId="15" fillId="0" borderId="9" xfId="0" applyNumberFormat="1" applyFont="1" applyBorder="1"/>
    <xf numFmtId="175" fontId="15" fillId="0" borderId="10" xfId="0" applyNumberFormat="1" applyFont="1" applyBorder="1"/>
    <xf numFmtId="175" fontId="11" fillId="0" borderId="9" xfId="0" applyNumberFormat="1" applyFont="1" applyBorder="1"/>
    <xf numFmtId="166" fontId="30" fillId="0" borderId="1" xfId="0" applyNumberFormat="1" applyFont="1" applyBorder="1"/>
    <xf numFmtId="166" fontId="19" fillId="0" borderId="7" xfId="0" applyNumberFormat="1" applyFont="1" applyBorder="1"/>
    <xf numFmtId="166" fontId="23" fillId="0" borderId="7" xfId="0" applyNumberFormat="1" applyFont="1" applyBorder="1"/>
    <xf numFmtId="166" fontId="23" fillId="0" borderId="6" xfId="0" applyNumberFormat="1" applyFont="1" applyBorder="1"/>
    <xf numFmtId="166" fontId="23" fillId="0" borderId="10" xfId="0" applyNumberFormat="1" applyFont="1" applyBorder="1"/>
    <xf numFmtId="166" fontId="19" fillId="0" borderId="1" xfId="0" applyNumberFormat="1" applyFont="1" applyBorder="1"/>
    <xf numFmtId="166" fontId="19" fillId="0" borderId="0" xfId="0" applyNumberFormat="1" applyFont="1" applyBorder="1"/>
    <xf numFmtId="166" fontId="19" fillId="0" borderId="1" xfId="0" applyNumberFormat="1" applyFont="1" applyFill="1" applyBorder="1"/>
    <xf numFmtId="166" fontId="19" fillId="0" borderId="0" xfId="0" applyNumberFormat="1" applyFont="1" applyFill="1" applyBorder="1"/>
    <xf numFmtId="166" fontId="19" fillId="0" borderId="7" xfId="0" applyNumberFormat="1" applyFont="1" applyFill="1" applyBorder="1"/>
    <xf numFmtId="166" fontId="19" fillId="7" borderId="5" xfId="0" applyNumberFormat="1" applyFont="1" applyFill="1" applyBorder="1"/>
    <xf numFmtId="166" fontId="19" fillId="7" borderId="4" xfId="0" applyNumberFormat="1" applyFont="1" applyFill="1" applyBorder="1"/>
    <xf numFmtId="166" fontId="19" fillId="7" borderId="11" xfId="0" applyNumberFormat="1" applyFont="1" applyFill="1" applyBorder="1"/>
    <xf numFmtId="166" fontId="30" fillId="7" borderId="5" xfId="0" applyNumberFormat="1" applyFont="1" applyFill="1" applyBorder="1"/>
    <xf numFmtId="166" fontId="10" fillId="0" borderId="0" xfId="0" applyNumberFormat="1" applyFont="1" applyBorder="1"/>
    <xf numFmtId="0" fontId="32" fillId="0" borderId="4" xfId="0" applyFont="1" applyBorder="1" applyAlignment="1">
      <alignment horizontal="center"/>
    </xf>
    <xf numFmtId="41" fontId="31" fillId="7" borderId="4" xfId="0" applyNumberFormat="1" applyFont="1" applyFill="1" applyBorder="1"/>
    <xf numFmtId="170" fontId="15" fillId="0" borderId="9" xfId="0" applyNumberFormat="1" applyFont="1" applyBorder="1"/>
    <xf numFmtId="170" fontId="31" fillId="0" borderId="0" xfId="0" applyNumberFormat="1" applyFont="1" applyBorder="1"/>
    <xf numFmtId="0" fontId="11" fillId="0" borderId="0" xfId="0" applyFont="1" applyFill="1" applyBorder="1"/>
    <xf numFmtId="170" fontId="10" fillId="0" borderId="0" xfId="0" applyNumberFormat="1" applyFont="1" applyBorder="1"/>
    <xf numFmtId="176" fontId="19" fillId="0" borderId="0" xfId="0" applyNumberFormat="1" applyFont="1" applyBorder="1"/>
    <xf numFmtId="176" fontId="19" fillId="0" borderId="0" xfId="0" applyNumberFormat="1" applyFont="1" applyFill="1" applyBorder="1"/>
    <xf numFmtId="176" fontId="19" fillId="7" borderId="4" xfId="0" applyNumberFormat="1" applyFont="1" applyFill="1" applyBorder="1"/>
    <xf numFmtId="167" fontId="25" fillId="0" borderId="0" xfId="0" applyNumberFormat="1" applyFont="1" applyBorder="1"/>
    <xf numFmtId="0" fontId="4" fillId="0" borderId="0" xfId="0" applyFont="1" applyBorder="1"/>
    <xf numFmtId="167" fontId="4" fillId="0" borderId="0" xfId="0" applyNumberFormat="1" applyFont="1" applyBorder="1"/>
    <xf numFmtId="0" fontId="15" fillId="5" borderId="4" xfId="0" applyFont="1" applyFill="1" applyBorder="1"/>
    <xf numFmtId="169" fontId="28" fillId="4" borderId="12" xfId="0" applyNumberFormat="1" applyFont="1" applyFill="1" applyBorder="1" applyAlignment="1">
      <alignment horizontal="center"/>
    </xf>
    <xf numFmtId="166" fontId="10" fillId="0" borderId="0" xfId="0" applyNumberFormat="1" applyFont="1"/>
    <xf numFmtId="168" fontId="30" fillId="4" borderId="12" xfId="2" applyNumberFormat="1" applyFont="1" applyFill="1" applyBorder="1" applyAlignment="1"/>
    <xf numFmtId="167" fontId="30" fillId="4" borderId="12" xfId="2" applyNumberFormat="1" applyFont="1" applyFill="1" applyBorder="1" applyAlignment="1"/>
    <xf numFmtId="166" fontId="23" fillId="0" borderId="0" xfId="0" applyNumberFormat="1" applyFont="1" applyBorder="1"/>
    <xf numFmtId="175" fontId="11" fillId="0" borderId="0" xfId="0" applyNumberFormat="1" applyFont="1"/>
    <xf numFmtId="167" fontId="19" fillId="4" borderId="12" xfId="2" applyNumberFormat="1" applyFont="1" applyFill="1" applyBorder="1" applyAlignment="1"/>
    <xf numFmtId="0" fontId="4" fillId="0" borderId="0" xfId="0" applyFont="1" applyBorder="1" applyAlignment="1">
      <alignment horizontal="left" indent="1"/>
    </xf>
    <xf numFmtId="168" fontId="25" fillId="0" borderId="0" xfId="0" applyNumberFormat="1" applyFont="1" applyBorder="1"/>
    <xf numFmtId="0" fontId="4" fillId="5" borderId="3" xfId="0" applyFont="1" applyFill="1" applyBorder="1"/>
    <xf numFmtId="0" fontId="4" fillId="0" borderId="0" xfId="0" applyFont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166" fontId="22" fillId="0" borderId="0" xfId="1" applyNumberFormat="1" applyFont="1" applyFill="1" applyBorder="1"/>
    <xf numFmtId="166" fontId="10" fillId="0" borderId="3" xfId="0" applyNumberFormat="1" applyFont="1" applyBorder="1"/>
    <xf numFmtId="175" fontId="4" fillId="0" borderId="9" xfId="0" applyNumberFormat="1" applyFont="1" applyBorder="1"/>
    <xf numFmtId="170" fontId="22" fillId="0" borderId="0" xfId="1" applyNumberFormat="1" applyFont="1" applyFill="1" applyBorder="1"/>
    <xf numFmtId="168" fontId="19" fillId="4" borderId="12" xfId="2" applyNumberFormat="1" applyFont="1" applyFill="1" applyBorder="1" applyAlignment="1"/>
    <xf numFmtId="168" fontId="4" fillId="0" borderId="0" xfId="0" applyNumberFormat="1" applyFont="1" applyBorder="1"/>
    <xf numFmtId="175" fontId="11" fillId="0" borderId="1" xfId="0" applyNumberFormat="1" applyFont="1" applyBorder="1"/>
    <xf numFmtId="175" fontId="11" fillId="0" borderId="0" xfId="0" applyNumberFormat="1" applyFont="1" applyBorder="1"/>
    <xf numFmtId="175" fontId="22" fillId="0" borderId="0" xfId="1" applyNumberFormat="1" applyFont="1" applyBorder="1"/>
    <xf numFmtId="0" fontId="28" fillId="4" borderId="12" xfId="0" applyNumberFormat="1" applyFont="1" applyFill="1" applyBorder="1" applyAlignment="1">
      <alignment horizontal="centerContinuous"/>
    </xf>
    <xf numFmtId="178" fontId="19" fillId="0" borderId="0" xfId="0" applyNumberFormat="1" applyFont="1" applyBorder="1"/>
    <xf numFmtId="166" fontId="31" fillId="0" borderId="0" xfId="0" applyNumberFormat="1" applyFont="1" applyBorder="1"/>
    <xf numFmtId="166" fontId="31" fillId="0" borderId="1" xfId="0" applyNumberFormat="1" applyFont="1" applyBorder="1"/>
    <xf numFmtId="170" fontId="30" fillId="0" borderId="1" xfId="0" applyNumberFormat="1" applyFont="1" applyBorder="1"/>
    <xf numFmtId="170" fontId="19" fillId="0" borderId="7" xfId="0" applyNumberFormat="1" applyFont="1" applyBorder="1"/>
    <xf numFmtId="7" fontId="10" fillId="0" borderId="7" xfId="0" applyNumberFormat="1" applyFont="1" applyBorder="1"/>
    <xf numFmtId="0" fontId="32" fillId="0" borderId="0" xfId="0" applyFont="1" applyFill="1" applyBorder="1" applyAlignment="1">
      <alignment horizontal="center"/>
    </xf>
    <xf numFmtId="0" fontId="4" fillId="0" borderId="0" xfId="0" applyFont="1"/>
    <xf numFmtId="0" fontId="32" fillId="0" borderId="3" xfId="0" applyFont="1" applyFill="1" applyBorder="1" applyAlignment="1">
      <alignment horizontal="center"/>
    </xf>
    <xf numFmtId="166" fontId="10" fillId="0" borderId="7" xfId="0" applyNumberFormat="1" applyFont="1" applyBorder="1"/>
    <xf numFmtId="170" fontId="10" fillId="0" borderId="7" xfId="0" applyNumberFormat="1" applyFont="1" applyBorder="1"/>
    <xf numFmtId="168" fontId="25" fillId="0" borderId="7" xfId="0" applyNumberFormat="1" applyFont="1" applyBorder="1"/>
    <xf numFmtId="166" fontId="4" fillId="0" borderId="0" xfId="0" applyNumberFormat="1" applyFont="1" applyFill="1" applyBorder="1"/>
    <xf numFmtId="170" fontId="28" fillId="0" borderId="0" xfId="0" applyNumberFormat="1" applyFont="1" applyBorder="1"/>
    <xf numFmtId="166" fontId="22" fillId="0" borderId="0" xfId="0" applyNumberFormat="1" applyFont="1" applyBorder="1"/>
    <xf numFmtId="170" fontId="11" fillId="0" borderId="10" xfId="0" applyNumberFormat="1" applyFont="1" applyBorder="1"/>
    <xf numFmtId="170" fontId="26" fillId="0" borderId="9" xfId="0" applyNumberFormat="1" applyFont="1" applyBorder="1"/>
    <xf numFmtId="179" fontId="28" fillId="4" borderId="12" xfId="0" applyNumberFormat="1" applyFont="1" applyFill="1" applyBorder="1" applyAlignment="1">
      <alignment horizontal="center"/>
    </xf>
    <xf numFmtId="178" fontId="10" fillId="0" borderId="0" xfId="0" applyNumberFormat="1" applyFont="1" applyBorder="1"/>
    <xf numFmtId="180" fontId="11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left" indent="1"/>
    </xf>
    <xf numFmtId="173" fontId="30" fillId="4" borderId="12" xfId="2" applyNumberFormat="1" applyFont="1" applyFill="1" applyBorder="1" applyAlignment="1">
      <alignment horizontal="center"/>
    </xf>
    <xf numFmtId="173" fontId="19" fillId="4" borderId="12" xfId="2" applyNumberFormat="1" applyFont="1" applyFill="1" applyBorder="1" applyAlignment="1">
      <alignment horizontal="center"/>
    </xf>
    <xf numFmtId="168" fontId="10" fillId="0" borderId="0" xfId="0" applyNumberFormat="1" applyFont="1" applyAlignment="1">
      <alignment horizontal="center"/>
    </xf>
    <xf numFmtId="174" fontId="10" fillId="0" borderId="0" xfId="0" applyNumberFormat="1" applyFont="1" applyBorder="1"/>
    <xf numFmtId="174" fontId="10" fillId="0" borderId="7" xfId="0" applyNumberFormat="1" applyFont="1" applyBorder="1"/>
    <xf numFmtId="166" fontId="11" fillId="0" borderId="0" xfId="0" applyNumberFormat="1" applyFont="1" applyBorder="1"/>
    <xf numFmtId="166" fontId="11" fillId="0" borderId="7" xfId="0" applyNumberFormat="1" applyFont="1" applyBorder="1"/>
    <xf numFmtId="0" fontId="32" fillId="7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168" fontId="30" fillId="4" borderId="20" xfId="2" applyNumberFormat="1" applyFont="1" applyFill="1" applyBorder="1" applyAlignment="1"/>
    <xf numFmtId="0" fontId="3" fillId="7" borderId="4" xfId="0" applyFont="1" applyFill="1" applyBorder="1" applyAlignment="1">
      <alignment horizontal="left" indent="1"/>
    </xf>
    <xf numFmtId="0" fontId="10" fillId="7" borderId="4" xfId="0" applyFont="1" applyFill="1" applyBorder="1"/>
    <xf numFmtId="168" fontId="10" fillId="7" borderId="4" xfId="0" applyNumberFormat="1" applyFont="1" applyFill="1" applyBorder="1"/>
    <xf numFmtId="168" fontId="11" fillId="7" borderId="4" xfId="0" applyNumberFormat="1" applyFont="1" applyFill="1" applyBorder="1"/>
    <xf numFmtId="41" fontId="17" fillId="7" borderId="5" xfId="0" applyNumberFormat="1" applyFont="1" applyFill="1" applyBorder="1"/>
    <xf numFmtId="41" fontId="17" fillId="7" borderId="4" xfId="0" applyNumberFormat="1" applyFont="1" applyFill="1" applyBorder="1"/>
    <xf numFmtId="41" fontId="17" fillId="7" borderId="11" xfId="0" applyNumberFormat="1" applyFont="1" applyFill="1" applyBorder="1"/>
    <xf numFmtId="168" fontId="19" fillId="7" borderId="4" xfId="0" applyNumberFormat="1" applyFont="1" applyFill="1" applyBorder="1"/>
    <xf numFmtId="0" fontId="21" fillId="3" borderId="3" xfId="1" applyFont="1" applyFill="1" applyBorder="1"/>
    <xf numFmtId="0" fontId="22" fillId="6" borderId="6" xfId="1" applyFont="1" applyFill="1" applyBorder="1"/>
    <xf numFmtId="0" fontId="22" fillId="6" borderId="4" xfId="1" applyFont="1" applyFill="1" applyBorder="1"/>
    <xf numFmtId="0" fontId="27" fillId="6" borderId="4" xfId="1" applyFont="1" applyFill="1" applyBorder="1" applyAlignment="1">
      <alignment horizontal="centerContinuous"/>
    </xf>
    <xf numFmtId="0" fontId="26" fillId="6" borderId="4" xfId="1" applyFont="1" applyFill="1" applyBorder="1" applyAlignment="1">
      <alignment horizontal="centerContinuous"/>
    </xf>
    <xf numFmtId="0" fontId="26" fillId="6" borderId="11" xfId="1" applyFont="1" applyFill="1" applyBorder="1" applyAlignment="1">
      <alignment horizontal="centerContinuous"/>
    </xf>
    <xf numFmtId="0" fontId="22" fillId="6" borderId="19" xfId="1" applyFont="1" applyFill="1" applyBorder="1"/>
    <xf numFmtId="168" fontId="34" fillId="5" borderId="0" xfId="1" applyNumberFormat="1" applyFont="1" applyFill="1" applyBorder="1"/>
    <xf numFmtId="173" fontId="28" fillId="5" borderId="3" xfId="1" applyNumberFormat="1" applyFont="1" applyFill="1" applyBorder="1" applyAlignment="1">
      <alignment horizontal="center"/>
    </xf>
    <xf numFmtId="173" fontId="22" fillId="5" borderId="3" xfId="1" applyNumberFormat="1" applyFont="1" applyFill="1" applyBorder="1" applyAlignment="1">
      <alignment horizontal="center"/>
    </xf>
    <xf numFmtId="173" fontId="26" fillId="5" borderId="3" xfId="1" applyNumberFormat="1" applyFont="1" applyFill="1" applyBorder="1" applyAlignment="1">
      <alignment horizontal="center"/>
    </xf>
    <xf numFmtId="173" fontId="22" fillId="5" borderId="11" xfId="1" applyNumberFormat="1" applyFont="1" applyFill="1" applyBorder="1" applyAlignment="1">
      <alignment horizontal="center"/>
    </xf>
    <xf numFmtId="173" fontId="22" fillId="0" borderId="6" xfId="1" applyNumberFormat="1" applyFont="1" applyBorder="1"/>
    <xf numFmtId="173" fontId="22" fillId="0" borderId="9" xfId="1" applyNumberFormat="1" applyFont="1" applyBorder="1"/>
    <xf numFmtId="173" fontId="26" fillId="0" borderId="9" xfId="1" applyNumberFormat="1" applyFont="1" applyBorder="1"/>
    <xf numFmtId="173" fontId="22" fillId="0" borderId="1" xfId="1" applyNumberFormat="1" applyFont="1" applyBorder="1"/>
    <xf numFmtId="173" fontId="22" fillId="0" borderId="0" xfId="1" applyNumberFormat="1" applyFont="1" applyBorder="1"/>
    <xf numFmtId="173" fontId="26" fillId="0" borderId="0" xfId="1" applyNumberFormat="1" applyFont="1" applyBorder="1"/>
    <xf numFmtId="173" fontId="26" fillId="0" borderId="1" xfId="1" applyNumberFormat="1" applyFont="1" applyBorder="1"/>
    <xf numFmtId="0" fontId="3" fillId="0" borderId="0" xfId="0" applyFont="1"/>
    <xf numFmtId="0" fontId="4" fillId="7" borderId="3" xfId="0" applyFont="1" applyFill="1" applyBorder="1" applyAlignment="1">
      <alignment horizontal="left" indent="1"/>
    </xf>
    <xf numFmtId="166" fontId="10" fillId="7" borderId="3" xfId="0" applyNumberFormat="1" applyFont="1" applyFill="1" applyBorder="1"/>
    <xf numFmtId="166" fontId="10" fillId="7" borderId="8" xfId="0" applyNumberFormat="1" applyFont="1" applyFill="1" applyBorder="1"/>
    <xf numFmtId="166" fontId="10" fillId="0" borderId="0" xfId="0" applyNumberFormat="1" applyFont="1" applyFill="1" applyBorder="1"/>
    <xf numFmtId="166" fontId="10" fillId="0" borderId="7" xfId="0" applyNumberFormat="1" applyFont="1" applyFill="1" applyBorder="1"/>
    <xf numFmtId="0" fontId="4" fillId="0" borderId="3" xfId="0" applyFont="1" applyFill="1" applyBorder="1" applyAlignment="1">
      <alignment horizontal="left" indent="1"/>
    </xf>
    <xf numFmtId="166" fontId="10" fillId="0" borderId="3" xfId="0" applyNumberFormat="1" applyFont="1" applyFill="1" applyBorder="1"/>
    <xf numFmtId="166" fontId="10" fillId="0" borderId="8" xfId="0" applyNumberFormat="1" applyFont="1" applyFill="1" applyBorder="1"/>
    <xf numFmtId="0" fontId="25" fillId="0" borderId="0" xfId="0" applyFont="1" applyBorder="1" applyAlignment="1">
      <alignment horizontal="left"/>
    </xf>
    <xf numFmtId="168" fontId="30" fillId="4" borderId="22" xfId="2" applyNumberFormat="1" applyFont="1" applyFill="1" applyBorder="1" applyAlignment="1"/>
    <xf numFmtId="0" fontId="15" fillId="5" borderId="3" xfId="0" applyFont="1" applyFill="1" applyBorder="1"/>
    <xf numFmtId="167" fontId="10" fillId="5" borderId="3" xfId="0" applyNumberFormat="1" applyFont="1" applyFill="1" applyBorder="1"/>
    <xf numFmtId="167" fontId="15" fillId="5" borderId="3" xfId="0" applyNumberFormat="1" applyFont="1" applyFill="1" applyBorder="1"/>
    <xf numFmtId="167" fontId="15" fillId="5" borderId="2" xfId="0" applyNumberFormat="1" applyFont="1" applyFill="1" applyBorder="1"/>
    <xf numFmtId="167" fontId="15" fillId="5" borderId="8" xfId="0" applyNumberFormat="1" applyFont="1" applyFill="1" applyBorder="1"/>
    <xf numFmtId="0" fontId="15" fillId="5" borderId="3" xfId="0" applyFont="1" applyFill="1" applyBorder="1" applyAlignment="1">
      <alignment horizontal="left"/>
    </xf>
    <xf numFmtId="0" fontId="15" fillId="5" borderId="2" xfId="0" applyFont="1" applyFill="1" applyBorder="1"/>
    <xf numFmtId="0" fontId="15" fillId="5" borderId="8" xfId="0" applyFont="1" applyFill="1" applyBorder="1"/>
    <xf numFmtId="0" fontId="3" fillId="0" borderId="0" xfId="0" applyFont="1" applyAlignment="1">
      <alignment horizontal="left" indent="1"/>
    </xf>
    <xf numFmtId="166" fontId="3" fillId="0" borderId="2" xfId="0" applyNumberFormat="1" applyFont="1" applyFill="1" applyBorder="1"/>
    <xf numFmtId="166" fontId="3" fillId="0" borderId="3" xfId="0" applyNumberFormat="1" applyFont="1" applyFill="1" applyBorder="1"/>
    <xf numFmtId="166" fontId="3" fillId="7" borderId="3" xfId="0" applyNumberFormat="1" applyFont="1" applyFill="1" applyBorder="1"/>
    <xf numFmtId="170" fontId="19" fillId="0" borderId="1" xfId="0" applyNumberFormat="1" applyFont="1" applyBorder="1"/>
    <xf numFmtId="170" fontId="19" fillId="0" borderId="0" xfId="0" applyNumberFormat="1" applyFont="1" applyBorder="1"/>
    <xf numFmtId="168" fontId="30" fillId="0" borderId="0" xfId="2" applyNumberFormat="1" applyFont="1" applyFill="1" applyBorder="1" applyAlignment="1"/>
    <xf numFmtId="168" fontId="30" fillId="4" borderId="23" xfId="2" applyNumberFormat="1" applyFont="1" applyFill="1" applyBorder="1" applyAlignment="1"/>
    <xf numFmtId="168" fontId="30" fillId="4" borderId="24" xfId="2" applyNumberFormat="1" applyFont="1" applyFill="1" applyBorder="1" applyAlignment="1"/>
    <xf numFmtId="167" fontId="30" fillId="4" borderId="25" xfId="2" applyNumberFormat="1" applyFont="1" applyFill="1" applyBorder="1" applyAlignment="1"/>
    <xf numFmtId="167" fontId="30" fillId="4" borderId="26" xfId="2" applyNumberFormat="1" applyFont="1" applyFill="1" applyBorder="1" applyAlignment="1"/>
    <xf numFmtId="176" fontId="19" fillId="0" borderId="27" xfId="0" applyNumberFormat="1" applyFont="1" applyBorder="1"/>
    <xf numFmtId="168" fontId="30" fillId="0" borderId="1" xfId="2" applyNumberFormat="1" applyFont="1" applyFill="1" applyBorder="1" applyAlignment="1"/>
    <xf numFmtId="176" fontId="19" fillId="0" borderId="1" xfId="0" applyNumberFormat="1" applyFont="1" applyBorder="1"/>
    <xf numFmtId="181" fontId="23" fillId="0" borderId="0" xfId="0" applyNumberFormat="1" applyFont="1" applyBorder="1"/>
    <xf numFmtId="0" fontId="11" fillId="5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0" fontId="11" fillId="0" borderId="0" xfId="0" applyNumberFormat="1" applyFont="1"/>
    <xf numFmtId="170" fontId="10" fillId="0" borderId="9" xfId="0" applyNumberFormat="1" applyFont="1" applyBorder="1"/>
    <xf numFmtId="166" fontId="22" fillId="0" borderId="3" xfId="0" applyNumberFormat="1" applyFont="1" applyBorder="1"/>
    <xf numFmtId="168" fontId="3" fillId="0" borderId="0" xfId="0" applyNumberFormat="1" applyFont="1" applyBorder="1"/>
    <xf numFmtId="169" fontId="28" fillId="5" borderId="7" xfId="1" applyNumberFormat="1" applyFont="1" applyFill="1" applyBorder="1" applyAlignment="1">
      <alignment horizontal="center"/>
    </xf>
    <xf numFmtId="169" fontId="22" fillId="5" borderId="7" xfId="1" applyNumberFormat="1" applyFont="1" applyFill="1" applyBorder="1" applyAlignment="1">
      <alignment horizontal="center"/>
    </xf>
    <xf numFmtId="169" fontId="26" fillId="5" borderId="7" xfId="1" applyNumberFormat="1" applyFont="1" applyFill="1" applyBorder="1" applyAlignment="1">
      <alignment horizontal="center"/>
    </xf>
    <xf numFmtId="169" fontId="22" fillId="5" borderId="8" xfId="1" applyNumberFormat="1" applyFont="1" applyFill="1" applyBorder="1" applyAlignment="1">
      <alignment horizontal="center"/>
    </xf>
    <xf numFmtId="173" fontId="22" fillId="5" borderId="4" xfId="1" applyNumberFormat="1" applyFont="1" applyFill="1" applyBorder="1" applyAlignment="1">
      <alignment horizontal="center"/>
    </xf>
    <xf numFmtId="169" fontId="28" fillId="5" borderId="4" xfId="1" applyNumberFormat="1" applyFont="1" applyFill="1" applyBorder="1" applyAlignment="1">
      <alignment horizontal="center"/>
    </xf>
    <xf numFmtId="169" fontId="22" fillId="5" borderId="4" xfId="1" applyNumberFormat="1" applyFont="1" applyFill="1" applyBorder="1" applyAlignment="1">
      <alignment horizontal="center"/>
    </xf>
    <xf numFmtId="169" fontId="22" fillId="5" borderId="11" xfId="1" applyNumberFormat="1" applyFont="1" applyFill="1" applyBorder="1" applyAlignment="1">
      <alignment horizontal="center"/>
    </xf>
    <xf numFmtId="169" fontId="26" fillId="5" borderId="4" xfId="1" applyNumberFormat="1" applyFont="1" applyFill="1" applyBorder="1" applyAlignment="1">
      <alignment horizontal="center"/>
    </xf>
    <xf numFmtId="166" fontId="11" fillId="0" borderId="0" xfId="0" applyNumberFormat="1" applyFont="1"/>
    <xf numFmtId="168" fontId="30" fillId="4" borderId="18" xfId="2" applyNumberFormat="1" applyFont="1" applyFill="1" applyBorder="1" applyAlignment="1">
      <alignment horizontal="center"/>
    </xf>
    <xf numFmtId="168" fontId="30" fillId="4" borderId="12" xfId="2" applyNumberFormat="1" applyFont="1" applyFill="1" applyBorder="1" applyAlignment="1">
      <alignment horizontal="center"/>
    </xf>
    <xf numFmtId="177" fontId="30" fillId="4" borderId="12" xfId="2" applyNumberFormat="1" applyFont="1" applyFill="1" applyBorder="1" applyAlignment="1">
      <alignment horizontal="center"/>
    </xf>
    <xf numFmtId="181" fontId="10" fillId="0" borderId="0" xfId="0" applyNumberFormat="1" applyFont="1" applyBorder="1"/>
    <xf numFmtId="0" fontId="2" fillId="0" borderId="0" xfId="0" applyFont="1"/>
    <xf numFmtId="0" fontId="32" fillId="0" borderId="0" xfId="0" applyFont="1"/>
    <xf numFmtId="0" fontId="2" fillId="0" borderId="0" xfId="0" applyFont="1" applyFill="1"/>
    <xf numFmtId="0" fontId="27" fillId="6" borderId="19" xfId="1" applyFont="1" applyFill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166" fontId="28" fillId="0" borderId="7" xfId="0" applyNumberFormat="1" applyFont="1" applyBorder="1"/>
    <xf numFmtId="181" fontId="22" fillId="0" borderId="0" xfId="0" applyNumberFormat="1" applyFont="1" applyBorder="1"/>
  </cellXfs>
  <cellStyles count="3">
    <cellStyle name="Normal" xfId="0" builtinId="0"/>
    <cellStyle name="Normal 2" xfId="1"/>
    <cellStyle name="Note" xfId="2" builtinId="10"/>
  </cellStyles>
  <dxfs count="0"/>
  <tableStyles count="0" defaultTableStyle="TableStyleMedium9" defaultPivotStyle="PivotStyleLight16"/>
  <colors>
    <mruColors>
      <color rgb="FF0000FF"/>
      <color rgb="FFDCE6F1"/>
      <color rgb="FFDCE6F2"/>
      <color rgb="FFE6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Z184"/>
  <sheetViews>
    <sheetView showGridLines="0" tabSelected="1" zoomScaleNormal="100" zoomScaleSheetLayoutView="70" workbookViewId="0">
      <selection activeCell="B2" sqref="B2"/>
    </sheetView>
  </sheetViews>
  <sheetFormatPr defaultRowHeight="15.75" outlineLevelRow="1" outlineLevelCol="1" x14ac:dyDescent="0.25"/>
  <cols>
    <col min="1" max="2" width="2.7109375" style="3" customWidth="1"/>
    <col min="3" max="3" width="55" style="3" customWidth="1"/>
    <col min="4" max="4" width="12.7109375" style="3" customWidth="1"/>
    <col min="5" max="9" width="12.7109375" style="3" customWidth="1" outlineLevel="1"/>
    <col min="10" max="15" width="12.7109375" style="3" customWidth="1"/>
    <col min="16" max="16" width="2.7109375" style="3" customWidth="1"/>
    <col min="17" max="26" width="12.7109375" style="3" customWidth="1"/>
    <col min="27" max="16384" width="9.140625" style="3"/>
  </cols>
  <sheetData>
    <row r="2" spans="2:26" ht="18.75" x14ac:dyDescent="0.3">
      <c r="B2" s="1" t="str">
        <f>"Simplified Private Equity Buyout Model - "&amp;Company_Name</f>
        <v>Simplified Private Equity Buyout Model - MidFirst Bank</v>
      </c>
    </row>
    <row r="3" spans="2:26" x14ac:dyDescent="0.25">
      <c r="B3" s="2" t="s">
        <v>52</v>
      </c>
    </row>
    <row r="5" spans="2:26" x14ac:dyDescent="0.25">
      <c r="B5" s="73" t="s">
        <v>53</v>
      </c>
      <c r="C5" s="74"/>
      <c r="D5" s="74"/>
      <c r="E5" s="74"/>
      <c r="F5" s="75"/>
      <c r="G5" s="75"/>
      <c r="H5" s="75"/>
      <c r="I5" s="75"/>
      <c r="J5" s="75"/>
      <c r="K5" s="75"/>
      <c r="L5" s="75"/>
      <c r="M5" s="75"/>
      <c r="N5" s="75"/>
      <c r="O5" s="76"/>
      <c r="P5" s="34"/>
      <c r="Q5" s="104" t="s">
        <v>137</v>
      </c>
      <c r="R5" s="104"/>
      <c r="S5" s="104"/>
      <c r="T5" s="104"/>
      <c r="U5" s="104"/>
      <c r="V5" s="104"/>
      <c r="W5" s="104"/>
      <c r="X5" s="104"/>
      <c r="Y5" s="104"/>
      <c r="Z5" s="104"/>
    </row>
    <row r="6" spans="2:26" outlineLevel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26" outlineLevel="1" x14ac:dyDescent="0.25">
      <c r="C7" s="77" t="s">
        <v>54</v>
      </c>
      <c r="D7" s="79" t="s">
        <v>77</v>
      </c>
      <c r="E7" s="197"/>
      <c r="G7" s="77" t="s">
        <v>115</v>
      </c>
      <c r="K7" s="168">
        <f>+G118</f>
        <v>1252.8</v>
      </c>
      <c r="P7" s="2"/>
      <c r="Q7" s="311" t="s">
        <v>138</v>
      </c>
    </row>
    <row r="8" spans="2:26" outlineLevel="1" x14ac:dyDescent="0.25">
      <c r="C8" s="77" t="s">
        <v>0</v>
      </c>
      <c r="E8" s="78">
        <v>42735</v>
      </c>
      <c r="F8" s="117"/>
      <c r="G8" s="77"/>
      <c r="K8" s="168"/>
      <c r="P8" s="2"/>
    </row>
    <row r="9" spans="2:26" outlineLevel="1" x14ac:dyDescent="0.25">
      <c r="E9" s="2"/>
      <c r="F9" s="2"/>
      <c r="G9" s="77" t="s">
        <v>86</v>
      </c>
      <c r="K9" s="176">
        <v>2.5</v>
      </c>
      <c r="M9" s="2"/>
      <c r="N9" s="2"/>
      <c r="O9" s="2"/>
      <c r="P9" s="2"/>
      <c r="Q9" s="4" t="s">
        <v>139</v>
      </c>
    </row>
    <row r="10" spans="2:26" outlineLevel="1" x14ac:dyDescent="0.25">
      <c r="C10" s="2" t="s">
        <v>55</v>
      </c>
      <c r="E10" s="98">
        <v>0.4</v>
      </c>
      <c r="F10" s="116"/>
      <c r="G10" s="2" t="s">
        <v>40</v>
      </c>
      <c r="K10" s="162">
        <f>+K7*K9</f>
        <v>3132</v>
      </c>
      <c r="P10" s="2"/>
      <c r="Q10" s="311" t="s">
        <v>140</v>
      </c>
    </row>
    <row r="11" spans="2:26" outlineLevel="1" x14ac:dyDescent="0.25">
      <c r="C11" s="99" t="s">
        <v>64</v>
      </c>
      <c r="E11" s="98">
        <v>0.1</v>
      </c>
      <c r="F11" s="116"/>
      <c r="G11" s="5"/>
      <c r="K11" s="2"/>
      <c r="M11" s="2"/>
      <c r="N11" s="2"/>
      <c r="O11" s="2"/>
      <c r="P11" s="2"/>
    </row>
    <row r="12" spans="2:26" outlineLevel="1" x14ac:dyDescent="0.25">
      <c r="C12" s="5"/>
      <c r="E12" s="2"/>
      <c r="F12" s="2"/>
      <c r="G12" s="3" t="s">
        <v>76</v>
      </c>
      <c r="K12" s="220">
        <v>0.01</v>
      </c>
      <c r="M12" s="2"/>
      <c r="N12" s="2"/>
      <c r="O12" s="2"/>
      <c r="P12" s="2"/>
    </row>
    <row r="13" spans="2:26" outlineLevel="1" x14ac:dyDescent="0.25">
      <c r="C13" s="77" t="s">
        <v>118</v>
      </c>
      <c r="E13" s="220">
        <v>2E-3</v>
      </c>
      <c r="F13" s="2"/>
      <c r="G13" s="3" t="s">
        <v>35</v>
      </c>
      <c r="K13" s="113">
        <f>+K12*Equity_Purchase_Price</f>
        <v>31.32</v>
      </c>
      <c r="M13" s="2"/>
      <c r="N13" s="2"/>
      <c r="O13" s="2"/>
      <c r="P13" s="2"/>
    </row>
    <row r="14" spans="2:26" outlineLevel="1" x14ac:dyDescent="0.25">
      <c r="C14" s="77" t="s">
        <v>108</v>
      </c>
      <c r="E14" s="221">
        <f>+O141</f>
        <v>0.26661178894748927</v>
      </c>
      <c r="F14" s="2"/>
      <c r="G14" s="77"/>
      <c r="H14" s="2"/>
      <c r="I14" s="2"/>
      <c r="J14" s="2"/>
      <c r="K14" s="2"/>
      <c r="L14" s="9"/>
      <c r="M14" s="2"/>
      <c r="N14" s="2"/>
      <c r="O14" s="2"/>
      <c r="P14" s="2"/>
    </row>
    <row r="15" spans="2:26" outlineLevel="1" x14ac:dyDescent="0.25">
      <c r="C15" s="205" t="s">
        <v>109</v>
      </c>
      <c r="E15" s="222">
        <f>+O136</f>
        <v>8.8100026778641594E-2</v>
      </c>
      <c r="F15" s="2"/>
      <c r="G15" s="2" t="s">
        <v>51</v>
      </c>
      <c r="H15" s="2"/>
      <c r="I15" s="2"/>
      <c r="J15" s="2"/>
      <c r="K15" s="98">
        <v>0.15</v>
      </c>
      <c r="L15" s="2"/>
      <c r="M15" s="2"/>
      <c r="N15" s="2"/>
      <c r="O15" s="2"/>
      <c r="P15" s="2"/>
    </row>
    <row r="16" spans="2:26" outlineLevel="1" x14ac:dyDescent="0.25">
      <c r="F16" s="2"/>
      <c r="G16" s="2"/>
      <c r="H16" s="2"/>
      <c r="I16" s="2"/>
      <c r="J16" s="2"/>
      <c r="K16" s="2"/>
      <c r="M16" s="2"/>
      <c r="N16" s="2"/>
      <c r="O16" s="2"/>
      <c r="P16" s="2"/>
    </row>
    <row r="17" spans="2:26" outlineLevel="1" x14ac:dyDescent="0.25">
      <c r="F17" s="2"/>
      <c r="G17" s="77" t="s">
        <v>106</v>
      </c>
      <c r="H17" s="2"/>
      <c r="I17" s="2"/>
      <c r="J17" s="2"/>
      <c r="K17" s="215">
        <v>0</v>
      </c>
      <c r="M17" s="2"/>
      <c r="N17" s="2"/>
      <c r="O17" s="2"/>
      <c r="P17" s="2"/>
    </row>
    <row r="18" spans="2:26" outlineLevel="1" x14ac:dyDescent="0.25">
      <c r="F18" s="7"/>
      <c r="G18" s="77" t="s">
        <v>107</v>
      </c>
      <c r="H18" s="2"/>
      <c r="I18" s="2"/>
      <c r="J18" s="2"/>
      <c r="K18" s="9">
        <f>(Final_Year_ROE-Final_Year_NI_Growth)/(Cost_of_Equity-Final_Year_NI_Growth)</f>
        <v>2.8838746267381699</v>
      </c>
      <c r="M18" s="2"/>
      <c r="N18" s="2"/>
      <c r="O18" s="2"/>
      <c r="P18" s="2"/>
    </row>
    <row r="19" spans="2:26" outlineLevel="1" x14ac:dyDescent="0.25">
      <c r="F19" s="10"/>
      <c r="G19" s="77" t="s">
        <v>114</v>
      </c>
      <c r="H19" s="2"/>
      <c r="I19" s="2"/>
      <c r="J19" s="2"/>
      <c r="K19" s="98">
        <v>0.2</v>
      </c>
      <c r="M19" s="2"/>
      <c r="N19" s="2"/>
      <c r="O19" s="2"/>
      <c r="P19" s="2"/>
    </row>
    <row r="20" spans="2:26" outlineLevel="1" x14ac:dyDescent="0.25">
      <c r="F20" s="2"/>
      <c r="G20" s="5"/>
      <c r="H20" s="2"/>
      <c r="I20" s="2"/>
      <c r="J20" s="2"/>
      <c r="K20" s="9"/>
      <c r="M20" s="2"/>
      <c r="N20" s="2"/>
      <c r="O20" s="2"/>
      <c r="P20" s="2"/>
    </row>
    <row r="21" spans="2:26" outlineLevel="1" x14ac:dyDescent="0.25">
      <c r="F21" s="8"/>
      <c r="G21" s="77" t="s">
        <v>113</v>
      </c>
      <c r="H21" s="2"/>
      <c r="I21" s="2"/>
      <c r="J21" s="2"/>
      <c r="K21" s="9">
        <f>IF(Calc_Exit_Multiple,K18,Purchase_PTBV*(1+K19))</f>
        <v>3</v>
      </c>
      <c r="M21" s="2"/>
      <c r="N21" s="2"/>
      <c r="O21" s="9"/>
      <c r="P21" s="2"/>
    </row>
    <row r="23" spans="2:26" x14ac:dyDescent="0.25">
      <c r="B23" s="81" t="s">
        <v>71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16"/>
      <c r="Q23" s="104" t="s">
        <v>137</v>
      </c>
      <c r="R23" s="104"/>
      <c r="S23" s="104"/>
      <c r="T23" s="104"/>
      <c r="U23" s="104"/>
      <c r="V23" s="104"/>
      <c r="W23" s="104"/>
      <c r="X23" s="104"/>
      <c r="Y23" s="104"/>
      <c r="Z23" s="104"/>
    </row>
    <row r="24" spans="2:26" outlineLevel="1" x14ac:dyDescent="0.25">
      <c r="B24" s="8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2:26" outlineLevel="1" x14ac:dyDescent="0.25">
      <c r="B25" s="2"/>
      <c r="C25" s="103" t="s">
        <v>33</v>
      </c>
      <c r="D25" s="102"/>
      <c r="E25" s="102"/>
      <c r="G25" s="103" t="s">
        <v>34</v>
      </c>
      <c r="H25" s="102"/>
      <c r="I25" s="102"/>
      <c r="J25" s="102"/>
      <c r="K25" s="102"/>
      <c r="P25" s="2"/>
      <c r="Q25" s="311" t="s">
        <v>141</v>
      </c>
    </row>
    <row r="26" spans="2:26" outlineLevel="1" x14ac:dyDescent="0.25">
      <c r="C26" s="12" t="s">
        <v>38</v>
      </c>
      <c r="D26" s="2"/>
      <c r="E26" s="196">
        <f>Equity_Purchase_Price</f>
        <v>3132</v>
      </c>
      <c r="G26" s="12" t="s">
        <v>67</v>
      </c>
      <c r="H26" s="2"/>
      <c r="I26" s="2"/>
      <c r="J26" s="2"/>
      <c r="K26" s="196">
        <f>Equity_Purchase_Price</f>
        <v>3132</v>
      </c>
      <c r="P26" s="2"/>
    </row>
    <row r="27" spans="2:26" outlineLevel="1" x14ac:dyDescent="0.25">
      <c r="C27" s="22" t="s">
        <v>75</v>
      </c>
      <c r="E27" s="177">
        <f>+K13</f>
        <v>31.32</v>
      </c>
      <c r="G27" s="12" t="s">
        <v>35</v>
      </c>
      <c r="H27" s="2"/>
      <c r="I27" s="2"/>
      <c r="J27" s="2"/>
      <c r="K27" s="177">
        <f>K13</f>
        <v>31.32</v>
      </c>
      <c r="P27" s="2"/>
    </row>
    <row r="28" spans="2:26" outlineLevel="1" x14ac:dyDescent="0.25">
      <c r="C28" s="21" t="s">
        <v>37</v>
      </c>
      <c r="D28" s="19"/>
      <c r="E28" s="147">
        <f>SUM(E26:E27)</f>
        <v>3163.32</v>
      </c>
      <c r="G28" s="21" t="s">
        <v>36</v>
      </c>
      <c r="H28" s="19"/>
      <c r="I28" s="19"/>
      <c r="J28" s="19"/>
      <c r="K28" s="147">
        <f>SUM(K26:K27)</f>
        <v>3163.32</v>
      </c>
      <c r="P28" s="2"/>
    </row>
    <row r="29" spans="2:26" outlineLevel="1" x14ac:dyDescent="0.25">
      <c r="C29" s="6"/>
      <c r="D29" s="2"/>
      <c r="E29" s="111"/>
      <c r="G29" s="2"/>
      <c r="H29" s="20"/>
      <c r="J29" s="6"/>
      <c r="K29" s="2"/>
      <c r="L29" s="2"/>
      <c r="M29" s="2"/>
      <c r="N29" s="2"/>
      <c r="O29" s="111"/>
      <c r="P29" s="2"/>
    </row>
    <row r="30" spans="2:26" outlineLevel="1" x14ac:dyDescent="0.25">
      <c r="C30" s="4" t="s">
        <v>74</v>
      </c>
      <c r="E30" s="112">
        <f>+K28-E28</f>
        <v>0</v>
      </c>
      <c r="J30" s="6"/>
      <c r="K30" s="2"/>
      <c r="L30" s="2"/>
      <c r="M30" s="2"/>
      <c r="N30" s="2"/>
      <c r="O30" s="111"/>
      <c r="P30" s="2"/>
    </row>
    <row r="31" spans="2:26" x14ac:dyDescent="0.25">
      <c r="C31" s="12"/>
      <c r="D31" s="2"/>
      <c r="E31" s="2"/>
      <c r="F31" s="2"/>
      <c r="G31" s="2"/>
      <c r="H31" s="20"/>
      <c r="J31" s="6"/>
      <c r="K31" s="2"/>
      <c r="L31" s="2"/>
      <c r="M31" s="2"/>
      <c r="N31" s="2"/>
      <c r="O31" s="111"/>
      <c r="P31" s="2"/>
    </row>
    <row r="32" spans="2:26" x14ac:dyDescent="0.25">
      <c r="B32" s="81" t="s">
        <v>72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16"/>
      <c r="Q32" s="104" t="s">
        <v>137</v>
      </c>
      <c r="R32" s="104"/>
      <c r="S32" s="104"/>
      <c r="T32" s="104"/>
      <c r="U32" s="104"/>
      <c r="V32" s="104"/>
      <c r="W32" s="104"/>
      <c r="X32" s="104"/>
      <c r="Y32" s="104"/>
      <c r="Z32" s="104"/>
    </row>
    <row r="33" spans="3:17" outlineLevel="1" x14ac:dyDescent="0.25">
      <c r="C33" s="12"/>
      <c r="D33" s="2"/>
      <c r="E33" s="2"/>
      <c r="F33" s="2"/>
      <c r="G33" s="2"/>
      <c r="H33" s="20"/>
      <c r="J33" s="6"/>
      <c r="K33" s="2"/>
      <c r="L33" s="2"/>
      <c r="M33" s="2"/>
      <c r="N33" s="2"/>
      <c r="O33" s="111"/>
      <c r="P33" s="2"/>
    </row>
    <row r="34" spans="3:17" outlineLevel="1" x14ac:dyDescent="0.25">
      <c r="C34" s="104" t="s">
        <v>39</v>
      </c>
      <c r="D34" s="105"/>
      <c r="E34" s="105"/>
      <c r="G34" s="104" t="s">
        <v>123</v>
      </c>
      <c r="H34" s="185"/>
      <c r="I34" s="185"/>
      <c r="J34" s="185"/>
      <c r="K34" s="185"/>
      <c r="P34" s="2"/>
      <c r="Q34" s="311" t="s">
        <v>142</v>
      </c>
    </row>
    <row r="35" spans="3:17" outlineLevel="1" x14ac:dyDescent="0.25">
      <c r="C35" s="95" t="s">
        <v>40</v>
      </c>
      <c r="D35" s="2"/>
      <c r="E35" s="196">
        <f>Equity_Purchase_Price</f>
        <v>3132</v>
      </c>
      <c r="G35" s="276" t="s">
        <v>124</v>
      </c>
      <c r="K35" s="307">
        <v>0.97</v>
      </c>
      <c r="P35" s="2"/>
      <c r="Q35" s="311" t="s">
        <v>143</v>
      </c>
    </row>
    <row r="36" spans="3:17" outlineLevel="1" x14ac:dyDescent="0.25">
      <c r="C36" s="14" t="s">
        <v>68</v>
      </c>
      <c r="D36" s="2"/>
      <c r="E36" s="177">
        <f>-G81</f>
        <v>-1405.9</v>
      </c>
      <c r="G36" s="276" t="s">
        <v>125</v>
      </c>
      <c r="K36" s="177">
        <f>(K35-1)*G60</f>
        <v>-344.91600000000034</v>
      </c>
      <c r="P36" s="2"/>
    </row>
    <row r="37" spans="3:17" outlineLevel="1" x14ac:dyDescent="0.25">
      <c r="C37" s="14" t="s">
        <v>69</v>
      </c>
      <c r="D37" s="2"/>
      <c r="E37" s="189">
        <f>G64</f>
        <v>97.4</v>
      </c>
      <c r="G37" s="276" t="s">
        <v>126</v>
      </c>
      <c r="K37" s="309">
        <v>10</v>
      </c>
      <c r="P37" s="2"/>
      <c r="Q37" s="311" t="s">
        <v>144</v>
      </c>
    </row>
    <row r="38" spans="3:17" outlineLevel="1" x14ac:dyDescent="0.25">
      <c r="C38" s="83" t="s">
        <v>41</v>
      </c>
      <c r="D38" s="19"/>
      <c r="E38" s="306">
        <f>SUM(E35:E37)</f>
        <v>1823.5</v>
      </c>
      <c r="P38" s="2"/>
    </row>
    <row r="39" spans="3:17" outlineLevel="1" x14ac:dyDescent="0.25">
      <c r="G39" s="104" t="s">
        <v>70</v>
      </c>
      <c r="H39" s="185"/>
      <c r="I39" s="185"/>
      <c r="J39" s="185"/>
      <c r="K39" s="185"/>
      <c r="P39" s="2"/>
      <c r="Q39" s="311" t="s">
        <v>145</v>
      </c>
    </row>
    <row r="40" spans="3:17" outlineLevel="1" x14ac:dyDescent="0.25">
      <c r="C40" s="228" t="s">
        <v>129</v>
      </c>
      <c r="D40" s="2"/>
      <c r="E40" s="177">
        <f>-K36</f>
        <v>344.91600000000034</v>
      </c>
      <c r="G40" s="186" t="s">
        <v>87</v>
      </c>
      <c r="K40" s="307">
        <v>0.9</v>
      </c>
      <c r="P40" s="2"/>
    </row>
    <row r="41" spans="3:17" outlineLevel="1" x14ac:dyDescent="0.25">
      <c r="C41" s="187" t="s">
        <v>94</v>
      </c>
      <c r="E41" s="177">
        <f>+G61</f>
        <v>-97.6</v>
      </c>
      <c r="G41" s="186" t="s">
        <v>88</v>
      </c>
      <c r="K41" s="188">
        <f>+K40*G74</f>
        <v>6644.16</v>
      </c>
    </row>
    <row r="42" spans="3:17" outlineLevel="1" x14ac:dyDescent="0.25">
      <c r="C42" s="187" t="s">
        <v>95</v>
      </c>
      <c r="E42" s="177">
        <f>+G65</f>
        <v>55.7</v>
      </c>
      <c r="G42" s="186" t="s">
        <v>89</v>
      </c>
      <c r="K42" s="308">
        <v>0.03</v>
      </c>
    </row>
    <row r="43" spans="3:17" outlineLevel="1" x14ac:dyDescent="0.25">
      <c r="C43" s="14" t="s">
        <v>78</v>
      </c>
      <c r="E43" s="177">
        <f>-CDI_Writeup</f>
        <v>-199.32479999999998</v>
      </c>
      <c r="G43" s="186" t="s">
        <v>70</v>
      </c>
      <c r="K43" s="188">
        <f>+K42*K41</f>
        <v>199.32479999999998</v>
      </c>
    </row>
    <row r="44" spans="3:17" outlineLevel="1" x14ac:dyDescent="0.25">
      <c r="C44" s="14" t="s">
        <v>79</v>
      </c>
      <c r="E44" s="177">
        <f>-Intangibles_Writeup</f>
        <v>-91.175000000000011</v>
      </c>
      <c r="G44" s="187" t="s">
        <v>45</v>
      </c>
      <c r="K44" s="309">
        <v>10</v>
      </c>
    </row>
    <row r="45" spans="3:17" outlineLevel="1" x14ac:dyDescent="0.25">
      <c r="C45" s="115" t="s">
        <v>80</v>
      </c>
      <c r="D45" s="11"/>
      <c r="E45" s="189">
        <f>+K51</f>
        <v>116.19992000000001</v>
      </c>
    </row>
    <row r="46" spans="3:17" outlineLevel="1" x14ac:dyDescent="0.25">
      <c r="C46" s="114" t="s">
        <v>42</v>
      </c>
      <c r="E46" s="181">
        <f>+E38+SUM(E40:E45)</f>
        <v>1952.2161200000005</v>
      </c>
      <c r="G46" s="104" t="s">
        <v>43</v>
      </c>
      <c r="H46" s="185"/>
      <c r="I46" s="185"/>
      <c r="J46" s="185"/>
      <c r="K46" s="185"/>
    </row>
    <row r="47" spans="3:17" outlineLevel="1" x14ac:dyDescent="0.25">
      <c r="G47" s="12" t="s">
        <v>44</v>
      </c>
      <c r="H47" s="2"/>
      <c r="I47" s="2"/>
      <c r="J47" s="2"/>
      <c r="K47" s="190">
        <f>E38</f>
        <v>1823.5</v>
      </c>
    </row>
    <row r="48" spans="3:17" outlineLevel="1" x14ac:dyDescent="0.25">
      <c r="G48" s="187" t="s">
        <v>91</v>
      </c>
      <c r="H48" s="2"/>
      <c r="I48" s="2"/>
      <c r="J48" s="2"/>
      <c r="K48" s="308">
        <v>0.05</v>
      </c>
    </row>
    <row r="49" spans="2:26" outlineLevel="1" x14ac:dyDescent="0.25">
      <c r="G49" s="187" t="s">
        <v>90</v>
      </c>
      <c r="H49" s="2"/>
      <c r="I49" s="2"/>
      <c r="J49" s="2"/>
      <c r="K49" s="188">
        <f>K48*K47</f>
        <v>91.175000000000011</v>
      </c>
    </row>
    <row r="50" spans="2:26" outlineLevel="1" x14ac:dyDescent="0.25">
      <c r="G50" s="14"/>
      <c r="H50" s="2"/>
      <c r="I50" s="2"/>
      <c r="J50" s="2"/>
      <c r="K50" s="15"/>
    </row>
    <row r="51" spans="2:26" outlineLevel="1" x14ac:dyDescent="0.25">
      <c r="G51" s="14" t="s">
        <v>46</v>
      </c>
      <c r="H51" s="2"/>
      <c r="I51" s="2"/>
      <c r="J51" s="2"/>
      <c r="K51" s="191">
        <f>(CDI_Writeup+Intangibles_Writeup)*Tax_Rate</f>
        <v>116.19992000000001</v>
      </c>
    </row>
    <row r="53" spans="2:26" x14ac:dyDescent="0.25">
      <c r="B53" s="81"/>
      <c r="C53" s="81"/>
      <c r="D53" s="81"/>
      <c r="E53" s="84" t="s">
        <v>1</v>
      </c>
      <c r="F53" s="84"/>
      <c r="G53" s="84"/>
      <c r="H53" s="84" t="s">
        <v>29</v>
      </c>
      <c r="I53" s="84"/>
      <c r="J53" s="84"/>
      <c r="K53" s="84" t="s">
        <v>2</v>
      </c>
      <c r="L53" s="84"/>
      <c r="M53" s="84"/>
      <c r="N53" s="84"/>
      <c r="O53" s="84"/>
      <c r="P53" s="2"/>
    </row>
    <row r="54" spans="2:26" x14ac:dyDescent="0.25">
      <c r="B54" s="87" t="s">
        <v>58</v>
      </c>
      <c r="C54" s="87"/>
      <c r="D54" s="93" t="s">
        <v>57</v>
      </c>
      <c r="E54" s="85">
        <f>EOMONTH(F54,-12)</f>
        <v>42004</v>
      </c>
      <c r="F54" s="85">
        <f>EOMONTH(G54,-12)</f>
        <v>42369</v>
      </c>
      <c r="G54" s="86">
        <f>Hist_Year</f>
        <v>42735</v>
      </c>
      <c r="H54" s="88" t="s">
        <v>30</v>
      </c>
      <c r="I54" s="85" t="s">
        <v>31</v>
      </c>
      <c r="J54" s="86">
        <f>G54</f>
        <v>42735</v>
      </c>
      <c r="K54" s="85">
        <f>EOMONTH(J54,12)</f>
        <v>43100</v>
      </c>
      <c r="L54" s="85">
        <f t="shared" ref="L54:O54" si="0">EOMONTH(K54,12)</f>
        <v>43465</v>
      </c>
      <c r="M54" s="85">
        <f t="shared" si="0"/>
        <v>43830</v>
      </c>
      <c r="N54" s="85">
        <f t="shared" si="0"/>
        <v>44196</v>
      </c>
      <c r="O54" s="85">
        <f t="shared" si="0"/>
        <v>44561</v>
      </c>
      <c r="P54" s="2"/>
    </row>
    <row r="55" spans="2:26" outlineLevel="1" x14ac:dyDescent="0.25">
      <c r="B55" s="91" t="s">
        <v>56</v>
      </c>
      <c r="C55" s="92"/>
      <c r="D55" s="92"/>
      <c r="E55" s="92"/>
      <c r="F55" s="92"/>
      <c r="G55" s="92"/>
      <c r="H55" s="100"/>
      <c r="I55" s="92"/>
      <c r="J55" s="101"/>
      <c r="K55" s="92"/>
      <c r="L55" s="92"/>
      <c r="M55" s="92"/>
      <c r="N55" s="92"/>
      <c r="O55" s="92"/>
      <c r="P55" s="2"/>
      <c r="Q55" s="104" t="s">
        <v>137</v>
      </c>
      <c r="R55" s="104"/>
      <c r="S55" s="104"/>
      <c r="T55" s="104"/>
      <c r="U55" s="104"/>
      <c r="V55" s="104"/>
      <c r="W55" s="104"/>
      <c r="X55" s="104"/>
      <c r="Y55" s="104"/>
      <c r="Z55" s="104"/>
    </row>
    <row r="56" spans="2:26" outlineLevel="1" x14ac:dyDescent="0.25">
      <c r="C56" s="89" t="s">
        <v>4</v>
      </c>
      <c r="D56" s="96" t="s">
        <v>63</v>
      </c>
      <c r="E56" s="118">
        <v>119.7</v>
      </c>
      <c r="F56" s="118">
        <v>118</v>
      </c>
      <c r="G56" s="118">
        <v>149</v>
      </c>
      <c r="H56" s="123">
        <v>0</v>
      </c>
      <c r="I56" s="124">
        <f>-K27</f>
        <v>-31.32</v>
      </c>
      <c r="J56" s="125">
        <f>G56+H56+I56</f>
        <v>117.68</v>
      </c>
      <c r="K56" s="198">
        <f>+K96*K74</f>
        <v>165.86045479053948</v>
      </c>
      <c r="L56" s="198">
        <f>+L96*L74</f>
        <v>183.67749583249193</v>
      </c>
      <c r="M56" s="198">
        <f>+M96*M74</f>
        <v>198.83817802818973</v>
      </c>
      <c r="N56" s="198">
        <f>+N96*N74</f>
        <v>215.19422170470207</v>
      </c>
      <c r="O56" s="198">
        <f>+O96*O74</f>
        <v>232.83309233623504</v>
      </c>
      <c r="P56" s="2"/>
    </row>
    <row r="57" spans="2:26" outlineLevel="1" x14ac:dyDescent="0.25">
      <c r="C57" s="89" t="s">
        <v>5</v>
      </c>
      <c r="D57" s="96" t="s">
        <v>63</v>
      </c>
      <c r="E57" s="119">
        <v>0</v>
      </c>
      <c r="F57" s="119">
        <v>0</v>
      </c>
      <c r="G57" s="119">
        <v>0</v>
      </c>
      <c r="H57" s="148">
        <v>0</v>
      </c>
      <c r="I57" s="119">
        <v>0</v>
      </c>
      <c r="J57" s="149">
        <f t="shared" ref="J57:J58" si="1">G57+H57+I57</f>
        <v>0</v>
      </c>
      <c r="K57" s="169">
        <f>+J57+K108</f>
        <v>39.433771146839717</v>
      </c>
      <c r="L57" s="169">
        <f>+K57+L108</f>
        <v>39.433771146839717</v>
      </c>
      <c r="M57" s="169">
        <f>+L57+M108</f>
        <v>39.433771146839717</v>
      </c>
      <c r="N57" s="169">
        <f>+M57+N108</f>
        <v>39.433771146839717</v>
      </c>
      <c r="O57" s="169">
        <f>+N57+O108</f>
        <v>39.433771146839717</v>
      </c>
      <c r="P57" s="2"/>
      <c r="Q57" s="311" t="s">
        <v>146</v>
      </c>
      <c r="T57" s="25"/>
      <c r="U57" s="25"/>
      <c r="V57" s="25"/>
      <c r="W57" s="25"/>
    </row>
    <row r="58" spans="2:26" outlineLevel="1" x14ac:dyDescent="0.25">
      <c r="C58" s="89" t="s">
        <v>62</v>
      </c>
      <c r="D58" s="96" t="s">
        <v>63</v>
      </c>
      <c r="E58" s="119">
        <v>365.7</v>
      </c>
      <c r="F58" s="119">
        <v>624.29999999999995</v>
      </c>
      <c r="G58" s="119">
        <v>404.6</v>
      </c>
      <c r="H58" s="148">
        <v>0</v>
      </c>
      <c r="I58" s="119">
        <v>0</v>
      </c>
      <c r="J58" s="149">
        <f t="shared" si="1"/>
        <v>404.6</v>
      </c>
      <c r="K58" s="169">
        <f>+J58*(1+K97)</f>
        <v>445.06000000000006</v>
      </c>
      <c r="L58" s="169">
        <f>+K58*(1+L97)</f>
        <v>485.11540000000008</v>
      </c>
      <c r="M58" s="169">
        <f>+L58*(1+M97)</f>
        <v>523.92463200000009</v>
      </c>
      <c r="N58" s="169">
        <f>+M58*(1+N97)</f>
        <v>560.59935624000013</v>
      </c>
      <c r="O58" s="169">
        <f>+N58*(1+O97)</f>
        <v>594.23531761440017</v>
      </c>
      <c r="P58" s="2"/>
      <c r="Q58" s="312" t="s">
        <v>147</v>
      </c>
      <c r="T58" s="29"/>
      <c r="U58" s="29"/>
      <c r="V58" s="29"/>
      <c r="W58" s="29"/>
    </row>
    <row r="59" spans="2:26" outlineLevel="1" x14ac:dyDescent="0.25">
      <c r="C59" s="2"/>
      <c r="D59" s="2"/>
      <c r="E59" s="2"/>
      <c r="F59" s="30"/>
      <c r="G59" s="31"/>
      <c r="H59" s="126"/>
      <c r="I59" s="127"/>
      <c r="J59" s="128"/>
      <c r="K59" s="30"/>
      <c r="L59" s="30"/>
      <c r="M59" s="30"/>
      <c r="N59" s="30"/>
      <c r="O59" s="30"/>
      <c r="P59" s="2"/>
      <c r="T59" s="30"/>
      <c r="U59" s="30"/>
      <c r="V59" s="30"/>
      <c r="W59" s="30"/>
    </row>
    <row r="60" spans="2:26" outlineLevel="1" x14ac:dyDescent="0.25">
      <c r="C60" s="95" t="s">
        <v>60</v>
      </c>
      <c r="D60" s="96" t="s">
        <v>63</v>
      </c>
      <c r="E60" s="199">
        <v>8227.1</v>
      </c>
      <c r="F60" s="199">
        <v>9574.6</v>
      </c>
      <c r="G60" s="199">
        <v>11497.2</v>
      </c>
      <c r="H60" s="200">
        <v>0</v>
      </c>
      <c r="I60" s="180">
        <f>-E40</f>
        <v>-344.91600000000034</v>
      </c>
      <c r="J60" s="150">
        <f>G60+H60+I60</f>
        <v>11152.284</v>
      </c>
      <c r="K60" s="290">
        <f>+K91-K92</f>
        <v>12911.355600000001</v>
      </c>
      <c r="L60" s="180">
        <f t="shared" ref="L60:O60" si="2">+L91-L92</f>
        <v>14598.5697</v>
      </c>
      <c r="M60" s="180">
        <f t="shared" si="2"/>
        <v>16120.511550000001</v>
      </c>
      <c r="N60" s="180">
        <f t="shared" si="2"/>
        <v>17791.198425000002</v>
      </c>
      <c r="O60" s="180">
        <f t="shared" si="2"/>
        <v>19625.504827500004</v>
      </c>
      <c r="P60" s="2"/>
      <c r="Q60" s="311" t="s">
        <v>170</v>
      </c>
      <c r="T60" s="25"/>
      <c r="U60" s="25"/>
      <c r="V60" s="25"/>
      <c r="W60" s="25"/>
    </row>
    <row r="61" spans="2:26" outlineLevel="1" x14ac:dyDescent="0.25">
      <c r="C61" s="12" t="s">
        <v>61</v>
      </c>
      <c r="D61" s="97" t="s">
        <v>63</v>
      </c>
      <c r="E61" s="120">
        <v>-87.3</v>
      </c>
      <c r="F61" s="119">
        <v>-90.6</v>
      </c>
      <c r="G61" s="119">
        <v>-97.6</v>
      </c>
      <c r="H61" s="153">
        <f>-E41</f>
        <v>97.6</v>
      </c>
      <c r="I61" s="119">
        <v>0</v>
      </c>
      <c r="J61" s="149">
        <f t="shared" ref="J61" si="3">G61+H61+I61</f>
        <v>0</v>
      </c>
      <c r="K61" s="154">
        <f>-K91*K94+SUM($H61:$I61)</f>
        <v>-14.785130000000024</v>
      </c>
      <c r="L61" s="154">
        <f t="shared" ref="L61:O61" si="4">-L91*L94+SUM($H61:$I61)</f>
        <v>-31.808171750000014</v>
      </c>
      <c r="M61" s="154">
        <f t="shared" si="4"/>
        <v>-49.657574750000009</v>
      </c>
      <c r="N61" s="154">
        <f t="shared" si="4"/>
        <v>-67.982961830000022</v>
      </c>
      <c r="O61" s="154">
        <f t="shared" si="4"/>
        <v>-90.480646861250023</v>
      </c>
      <c r="P61" s="2"/>
      <c r="Q61" s="311" t="s">
        <v>148</v>
      </c>
      <c r="T61" s="29"/>
      <c r="U61" s="29"/>
      <c r="V61" s="29"/>
      <c r="W61" s="29"/>
    </row>
    <row r="62" spans="2:26" outlineLevel="1" x14ac:dyDescent="0.25">
      <c r="C62" s="80" t="s">
        <v>6</v>
      </c>
      <c r="D62" s="96" t="s">
        <v>63</v>
      </c>
      <c r="E62" s="121">
        <f t="shared" ref="E62:I62" si="5">SUM(E60:E61)</f>
        <v>8139.8</v>
      </c>
      <c r="F62" s="121">
        <f t="shared" si="5"/>
        <v>9484</v>
      </c>
      <c r="G62" s="121">
        <f t="shared" si="5"/>
        <v>11399.6</v>
      </c>
      <c r="H62" s="151">
        <f t="shared" si="5"/>
        <v>97.6</v>
      </c>
      <c r="I62" s="121">
        <f t="shared" si="5"/>
        <v>-344.91600000000034</v>
      </c>
      <c r="J62" s="152">
        <f>SUM(J60:J61)</f>
        <v>11152.284</v>
      </c>
      <c r="K62" s="121">
        <f>SUM(K60:K61)</f>
        <v>12896.570470000001</v>
      </c>
      <c r="L62" s="121">
        <f t="shared" ref="L62:O62" si="6">SUM(L60:L61)</f>
        <v>14566.761528249999</v>
      </c>
      <c r="M62" s="121">
        <f t="shared" si="6"/>
        <v>16070.853975250002</v>
      </c>
      <c r="N62" s="121">
        <f t="shared" si="6"/>
        <v>17723.215463170003</v>
      </c>
      <c r="O62" s="121">
        <f t="shared" si="6"/>
        <v>19535.024180638753</v>
      </c>
      <c r="P62" s="2"/>
      <c r="T62" s="32"/>
    </row>
    <row r="63" spans="2:26" outlineLevel="1" x14ac:dyDescent="0.25">
      <c r="C63" s="12"/>
      <c r="D63" s="2"/>
      <c r="E63" s="2"/>
      <c r="F63" s="30"/>
      <c r="G63" s="31"/>
      <c r="H63" s="130"/>
      <c r="I63" s="131"/>
      <c r="J63" s="132"/>
      <c r="K63" s="30"/>
      <c r="L63" s="30"/>
      <c r="M63" s="30"/>
      <c r="N63" s="30"/>
      <c r="O63" s="30"/>
      <c r="P63" s="2"/>
      <c r="Q63" s="311" t="s">
        <v>149</v>
      </c>
      <c r="T63" s="32"/>
      <c r="U63" s="32"/>
    </row>
    <row r="64" spans="2:26" outlineLevel="1" x14ac:dyDescent="0.25">
      <c r="C64" s="89" t="s">
        <v>7</v>
      </c>
      <c r="D64" s="96" t="s">
        <v>63</v>
      </c>
      <c r="E64" s="119">
        <v>93.3</v>
      </c>
      <c r="F64" s="119">
        <v>95</v>
      </c>
      <c r="G64" s="119">
        <v>97.4</v>
      </c>
      <c r="H64" s="153">
        <f>+E46</f>
        <v>1952.2161200000005</v>
      </c>
      <c r="I64" s="154">
        <f>-E37</f>
        <v>-97.4</v>
      </c>
      <c r="J64" s="149">
        <f t="shared" ref="J64:J67" si="7">G64+H64+I64</f>
        <v>1952.2161200000005</v>
      </c>
      <c r="K64" s="169">
        <f>+J64</f>
        <v>1952.2161200000005</v>
      </c>
      <c r="L64" s="169">
        <f t="shared" ref="L64:O64" si="8">+K64</f>
        <v>1952.2161200000005</v>
      </c>
      <c r="M64" s="169">
        <f t="shared" si="8"/>
        <v>1952.2161200000005</v>
      </c>
      <c r="N64" s="169">
        <f t="shared" si="8"/>
        <v>1952.2161200000005</v>
      </c>
      <c r="O64" s="169">
        <f t="shared" si="8"/>
        <v>1952.2161200000005</v>
      </c>
      <c r="P64" s="2"/>
    </row>
    <row r="65" spans="2:17" s="35" customFormat="1" outlineLevel="1" x14ac:dyDescent="0.25">
      <c r="C65" s="90" t="s">
        <v>59</v>
      </c>
      <c r="D65" s="96" t="s">
        <v>63</v>
      </c>
      <c r="E65" s="119">
        <v>49.5</v>
      </c>
      <c r="F65" s="119">
        <v>52.3</v>
      </c>
      <c r="G65" s="119">
        <v>55.7</v>
      </c>
      <c r="H65" s="155">
        <f>-E44</f>
        <v>91.175000000000011</v>
      </c>
      <c r="I65" s="156">
        <f>-E42</f>
        <v>-55.7</v>
      </c>
      <c r="J65" s="157">
        <f t="shared" si="7"/>
        <v>91.174999999999997</v>
      </c>
      <c r="K65" s="170">
        <f>+J65</f>
        <v>91.174999999999997</v>
      </c>
      <c r="L65" s="170">
        <f t="shared" ref="L65:O65" si="9">+K65</f>
        <v>91.174999999999997</v>
      </c>
      <c r="M65" s="170">
        <f t="shared" si="9"/>
        <v>91.174999999999997</v>
      </c>
      <c r="N65" s="170">
        <f t="shared" si="9"/>
        <v>91.174999999999997</v>
      </c>
      <c r="O65" s="170">
        <f t="shared" si="9"/>
        <v>91.174999999999997</v>
      </c>
      <c r="P65" s="34"/>
      <c r="Q65" s="313" t="s">
        <v>150</v>
      </c>
    </row>
    <row r="66" spans="2:17" s="35" customFormat="1" outlineLevel="1" x14ac:dyDescent="0.25">
      <c r="C66" s="108" t="s">
        <v>70</v>
      </c>
      <c r="D66" s="109" t="s">
        <v>63</v>
      </c>
      <c r="E66" s="110">
        <v>0</v>
      </c>
      <c r="F66" s="110">
        <v>0</v>
      </c>
      <c r="G66" s="110">
        <v>0</v>
      </c>
      <c r="H66" s="158">
        <f>-E43</f>
        <v>199.32479999999998</v>
      </c>
      <c r="I66" s="159">
        <v>0</v>
      </c>
      <c r="J66" s="160">
        <f t="shared" si="7"/>
        <v>199.32479999999998</v>
      </c>
      <c r="K66" s="171">
        <f>+J66-CDI_Writeup/CDI_Amort_Period</f>
        <v>179.39231999999998</v>
      </c>
      <c r="L66" s="171">
        <f>+K66-CDI_Writeup/CDI_Amort_Period</f>
        <v>159.45983999999999</v>
      </c>
      <c r="M66" s="171">
        <f>+L66-CDI_Writeup/CDI_Amort_Period</f>
        <v>139.52735999999999</v>
      </c>
      <c r="N66" s="171">
        <f>+M66-CDI_Writeup/CDI_Amort_Period</f>
        <v>119.59487999999999</v>
      </c>
      <c r="O66" s="171">
        <f>+N66-CDI_Writeup/CDI_Amort_Period</f>
        <v>99.662399999999991</v>
      </c>
      <c r="P66" s="34"/>
    </row>
    <row r="67" spans="2:17" outlineLevel="1" x14ac:dyDescent="0.25">
      <c r="C67" s="122" t="s">
        <v>82</v>
      </c>
      <c r="D67" s="96" t="s">
        <v>63</v>
      </c>
      <c r="E67" s="119">
        <v>1013.0999999999999</v>
      </c>
      <c r="F67" s="119">
        <v>1193.7</v>
      </c>
      <c r="G67" s="119">
        <v>1159</v>
      </c>
      <c r="H67" s="148">
        <v>0</v>
      </c>
      <c r="I67" s="119">
        <v>0</v>
      </c>
      <c r="J67" s="149">
        <f t="shared" si="7"/>
        <v>1159</v>
      </c>
      <c r="K67" s="169">
        <f>+K98*K74</f>
        <v>1449.6154699826216</v>
      </c>
      <c r="L67" s="169">
        <f>+L98*L74</f>
        <v>1605.3358817971607</v>
      </c>
      <c r="M67" s="169">
        <f>+M98*M74</f>
        <v>1737.8397958502603</v>
      </c>
      <c r="N67" s="169">
        <f>+N98*N74</f>
        <v>1880.7911338960071</v>
      </c>
      <c r="O67" s="169">
        <f>+O98*O74</f>
        <v>2034.9543415924013</v>
      </c>
      <c r="P67" s="2"/>
    </row>
    <row r="68" spans="2:17" outlineLevel="1" x14ac:dyDescent="0.25">
      <c r="C68" s="89"/>
      <c r="D68" s="2"/>
      <c r="E68" s="162"/>
      <c r="F68" s="162"/>
      <c r="G68" s="162"/>
      <c r="H68" s="133"/>
      <c r="I68" s="134"/>
      <c r="J68" s="129"/>
      <c r="K68" s="29"/>
      <c r="L68" s="29"/>
      <c r="M68" s="29"/>
      <c r="N68" s="29"/>
      <c r="O68" s="29"/>
      <c r="P68" s="2"/>
    </row>
    <row r="69" spans="2:17" outlineLevel="1" x14ac:dyDescent="0.25">
      <c r="B69" s="5" t="s">
        <v>8</v>
      </c>
      <c r="C69" s="2"/>
      <c r="D69" s="96" t="s">
        <v>63</v>
      </c>
      <c r="E69" s="136">
        <f>SUM(E64:E67)+E62+SUM(E56:E58)</f>
        <v>9781.1</v>
      </c>
      <c r="F69" s="136">
        <f>SUM(F64:F67)+F62+SUM(F56:F58)</f>
        <v>11567.3</v>
      </c>
      <c r="G69" s="136">
        <f>SUM(G64:G67)+G62+SUM(G56:G58)</f>
        <v>13265.300000000001</v>
      </c>
      <c r="H69" s="135"/>
      <c r="I69" s="136"/>
      <c r="J69" s="137">
        <f>SUM(J64:J67)+J62+SUM(J56:J58)</f>
        <v>15076.279920000001</v>
      </c>
      <c r="K69" s="136">
        <f t="shared" ref="K69:O69" si="10">SUM(K64:K67)+K62+SUM(K56:K58)</f>
        <v>17219.323605920003</v>
      </c>
      <c r="L69" s="136">
        <f t="shared" si="10"/>
        <v>19083.175037026493</v>
      </c>
      <c r="M69" s="136">
        <f t="shared" si="10"/>
        <v>20753.808832275292</v>
      </c>
      <c r="N69" s="136">
        <f t="shared" si="10"/>
        <v>22582.219946157555</v>
      </c>
      <c r="O69" s="136">
        <f t="shared" si="10"/>
        <v>24579.534223328632</v>
      </c>
      <c r="P69" s="2"/>
    </row>
    <row r="70" spans="2:17" outlineLevel="1" x14ac:dyDescent="0.25">
      <c r="B70" s="5"/>
      <c r="C70" s="2"/>
      <c r="D70" s="2"/>
      <c r="E70" s="2"/>
      <c r="F70" s="67"/>
      <c r="G70" s="67"/>
      <c r="H70" s="135"/>
      <c r="I70" s="136"/>
      <c r="J70" s="137"/>
      <c r="K70" s="67"/>
      <c r="L70" s="67"/>
      <c r="M70" s="67"/>
      <c r="N70" s="67"/>
      <c r="O70" s="67"/>
      <c r="P70" s="2"/>
    </row>
    <row r="71" spans="2:17" outlineLevel="1" x14ac:dyDescent="0.25">
      <c r="B71" s="91" t="s">
        <v>66</v>
      </c>
      <c r="C71" s="92"/>
      <c r="D71" s="92"/>
      <c r="E71" s="92"/>
      <c r="F71" s="92"/>
      <c r="G71" s="92"/>
      <c r="H71" s="138"/>
      <c r="I71" s="139"/>
      <c r="J71" s="140"/>
      <c r="K71" s="92"/>
      <c r="L71" s="92"/>
      <c r="M71" s="92"/>
      <c r="N71" s="92"/>
      <c r="O71" s="92"/>
      <c r="P71" s="2"/>
    </row>
    <row r="72" spans="2:17" outlineLevel="1" x14ac:dyDescent="0.25">
      <c r="B72" s="5"/>
      <c r="C72" s="2"/>
      <c r="D72" s="2"/>
      <c r="E72" s="2"/>
      <c r="F72" s="67"/>
      <c r="G72" s="67"/>
      <c r="H72" s="135"/>
      <c r="I72" s="136"/>
      <c r="J72" s="137"/>
      <c r="K72" s="67"/>
      <c r="L72" s="67"/>
      <c r="M72" s="67"/>
      <c r="N72" s="67"/>
      <c r="O72" s="67"/>
      <c r="P72" s="2"/>
    </row>
    <row r="73" spans="2:17" outlineLevel="1" x14ac:dyDescent="0.25">
      <c r="B73" s="5" t="s">
        <v>9</v>
      </c>
      <c r="C73" s="2"/>
      <c r="D73" s="2"/>
      <c r="E73" s="2"/>
      <c r="F73" s="2"/>
      <c r="G73" s="2"/>
      <c r="H73" s="141"/>
      <c r="I73" s="142"/>
      <c r="J73" s="143"/>
      <c r="K73" s="2"/>
      <c r="L73" s="2"/>
      <c r="M73" s="2"/>
      <c r="N73" s="2"/>
      <c r="O73" s="2"/>
      <c r="P73" s="2"/>
    </row>
    <row r="74" spans="2:17" outlineLevel="1" x14ac:dyDescent="0.25">
      <c r="C74" s="89" t="s">
        <v>10</v>
      </c>
      <c r="D74" s="96" t="s">
        <v>63</v>
      </c>
      <c r="E74" s="118">
        <v>5862.4</v>
      </c>
      <c r="F74" s="118">
        <v>6483.2</v>
      </c>
      <c r="G74" s="118">
        <v>7382.4</v>
      </c>
      <c r="H74" s="201">
        <v>0</v>
      </c>
      <c r="I74" s="118">
        <v>0</v>
      </c>
      <c r="J74" s="202">
        <f>+G74+H74+I74</f>
        <v>7382.4</v>
      </c>
      <c r="K74" s="124">
        <f>+K91*K101</f>
        <v>8461.9392000000007</v>
      </c>
      <c r="L74" s="124">
        <f t="shared" ref="L74:O74" si="11">+L91*L101</f>
        <v>9370.9365749999997</v>
      </c>
      <c r="M74" s="124">
        <f t="shared" si="11"/>
        <v>10144.410705000002</v>
      </c>
      <c r="N74" s="124">
        <f t="shared" si="11"/>
        <v>10978.870295250001</v>
      </c>
      <c r="O74" s="124">
        <f t="shared" si="11"/>
        <v>11878.777696500001</v>
      </c>
      <c r="P74" s="2"/>
    </row>
    <row r="75" spans="2:17" outlineLevel="1" x14ac:dyDescent="0.25">
      <c r="C75" s="89" t="s">
        <v>11</v>
      </c>
      <c r="D75" s="96" t="s">
        <v>63</v>
      </c>
      <c r="E75" s="119">
        <v>0</v>
      </c>
      <c r="F75" s="119">
        <v>0</v>
      </c>
      <c r="G75" s="119">
        <v>0</v>
      </c>
      <c r="H75" s="148">
        <v>0</v>
      </c>
      <c r="I75" s="119">
        <v>0</v>
      </c>
      <c r="J75" s="149">
        <f t="shared" ref="J75:J78" si="12">+G75+H75+I75</f>
        <v>0</v>
      </c>
      <c r="K75" s="169">
        <f>+J75+K109</f>
        <v>0</v>
      </c>
      <c r="L75" s="169">
        <f>+K75+L109</f>
        <v>6.9818307926652778</v>
      </c>
      <c r="M75" s="169">
        <f>+L75+M109</f>
        <v>23.382981081933394</v>
      </c>
      <c r="N75" s="169">
        <f>+M75+N109</f>
        <v>126.05645169939817</v>
      </c>
      <c r="O75" s="169">
        <f>+N75+O109</f>
        <v>238.63533330111386</v>
      </c>
      <c r="P75" s="2"/>
    </row>
    <row r="76" spans="2:17" outlineLevel="1" x14ac:dyDescent="0.25">
      <c r="C76" s="122" t="s">
        <v>84</v>
      </c>
      <c r="D76" s="96" t="s">
        <v>63</v>
      </c>
      <c r="E76" s="119">
        <v>118.1</v>
      </c>
      <c r="F76" s="119">
        <v>124.8</v>
      </c>
      <c r="G76" s="119">
        <v>117.7</v>
      </c>
      <c r="H76" s="148">
        <v>0</v>
      </c>
      <c r="I76" s="119">
        <v>0</v>
      </c>
      <c r="J76" s="149">
        <f t="shared" si="12"/>
        <v>117.7</v>
      </c>
      <c r="K76" s="169">
        <f>+K102*K91</f>
        <v>132.21780000000001</v>
      </c>
      <c r="L76" s="169">
        <f t="shared" ref="L76:O76" si="13">+L102*L91</f>
        <v>145.77012450000001</v>
      </c>
      <c r="M76" s="169">
        <f t="shared" si="13"/>
        <v>157.07474640000001</v>
      </c>
      <c r="N76" s="169">
        <f t="shared" si="13"/>
        <v>170.98240623750002</v>
      </c>
      <c r="O76" s="169">
        <f t="shared" si="13"/>
        <v>188.08064686125002</v>
      </c>
      <c r="P76" s="2"/>
    </row>
    <row r="77" spans="2:17" outlineLevel="1" x14ac:dyDescent="0.25">
      <c r="C77" s="108" t="s">
        <v>47</v>
      </c>
      <c r="D77" s="109" t="s">
        <v>63</v>
      </c>
      <c r="E77" s="110">
        <v>0</v>
      </c>
      <c r="F77" s="110">
        <v>0</v>
      </c>
      <c r="G77" s="164">
        <v>0</v>
      </c>
      <c r="H77" s="161">
        <v>0</v>
      </c>
      <c r="I77" s="159">
        <f>K51</f>
        <v>116.19992000000001</v>
      </c>
      <c r="J77" s="160">
        <f t="shared" si="12"/>
        <v>116.19992000000001</v>
      </c>
      <c r="K77" s="171">
        <f>+J77-CDI_Writeup/CDI_Amort_Period*Tax_Rate</f>
        <v>108.226928</v>
      </c>
      <c r="L77" s="171">
        <f>+K77-CDI_Writeup/CDI_Amort_Period*Tax_Rate</f>
        <v>100.253936</v>
      </c>
      <c r="M77" s="171">
        <f>+L77-CDI_Writeup/CDI_Amort_Period*Tax_Rate</f>
        <v>92.280943999999991</v>
      </c>
      <c r="N77" s="171">
        <f>+M77-CDI_Writeup/CDI_Amort_Period*Tax_Rate</f>
        <v>84.307951999999986</v>
      </c>
      <c r="O77" s="171">
        <f>+N77-CDI_Writeup/CDI_Amort_Period*Tax_Rate</f>
        <v>76.334959999999981</v>
      </c>
      <c r="P77" s="2"/>
    </row>
    <row r="78" spans="2:17" outlineLevel="1" x14ac:dyDescent="0.25">
      <c r="C78" s="89" t="s">
        <v>12</v>
      </c>
      <c r="D78" s="163" t="s">
        <v>63</v>
      </c>
      <c r="E78" s="119">
        <v>2766.9</v>
      </c>
      <c r="F78" s="119">
        <v>3804.6</v>
      </c>
      <c r="G78" s="119">
        <v>4359.3</v>
      </c>
      <c r="H78" s="148">
        <v>0</v>
      </c>
      <c r="I78" s="119">
        <v>0</v>
      </c>
      <c r="J78" s="149">
        <f t="shared" si="12"/>
        <v>4359.3</v>
      </c>
      <c r="K78" s="169">
        <f>+K103*K91</f>
        <v>5024.2764000000006</v>
      </c>
      <c r="L78" s="169">
        <f t="shared" ref="L78:O78" si="14">+L103*L91</f>
        <v>5726.6834625000001</v>
      </c>
      <c r="M78" s="169">
        <f t="shared" si="14"/>
        <v>6462.9713362500015</v>
      </c>
      <c r="N78" s="169">
        <f t="shared" si="14"/>
        <v>7199.2592100000011</v>
      </c>
      <c r="O78" s="169">
        <f t="shared" si="14"/>
        <v>8018.1749451375017</v>
      </c>
      <c r="P78" s="2"/>
    </row>
    <row r="79" spans="2:17" outlineLevel="1" x14ac:dyDescent="0.25">
      <c r="B79" s="80" t="s">
        <v>13</v>
      </c>
      <c r="C79" s="19"/>
      <c r="D79" s="96" t="s">
        <v>63</v>
      </c>
      <c r="E79" s="165">
        <f>SUM(E74:E78)</f>
        <v>8747.4</v>
      </c>
      <c r="F79" s="165">
        <f t="shared" ref="F79:G79" si="15">SUM(F74:F78)</f>
        <v>10412.6</v>
      </c>
      <c r="G79" s="165">
        <f t="shared" si="15"/>
        <v>11859.4</v>
      </c>
      <c r="H79" s="144"/>
      <c r="I79" s="145"/>
      <c r="J79" s="146">
        <f>SUM(J74:J78)</f>
        <v>11975.599920000001</v>
      </c>
      <c r="K79" s="145">
        <f t="shared" ref="K79:O79" si="16">SUM(K74:K78)</f>
        <v>13726.660328000002</v>
      </c>
      <c r="L79" s="145">
        <f t="shared" si="16"/>
        <v>15350.625928792666</v>
      </c>
      <c r="M79" s="145">
        <f t="shared" si="16"/>
        <v>16880.120712731936</v>
      </c>
      <c r="N79" s="145">
        <f t="shared" si="16"/>
        <v>18559.476315186897</v>
      </c>
      <c r="O79" s="145">
        <f t="shared" si="16"/>
        <v>20400.003581799865</v>
      </c>
      <c r="P79" s="2"/>
    </row>
    <row r="80" spans="2:17" outlineLevel="1" x14ac:dyDescent="0.25">
      <c r="B80" s="5"/>
      <c r="C80" s="2"/>
      <c r="D80" s="2"/>
      <c r="E80" s="2"/>
      <c r="F80" s="2"/>
      <c r="G80" s="2"/>
      <c r="H80" s="141"/>
      <c r="I80" s="142"/>
      <c r="J80" s="143"/>
      <c r="K80" s="2"/>
      <c r="L80" s="2"/>
      <c r="M80" s="2"/>
      <c r="N80" s="2"/>
      <c r="O80" s="2"/>
      <c r="P80" s="2"/>
    </row>
    <row r="81" spans="2:26" outlineLevel="1" x14ac:dyDescent="0.25">
      <c r="B81" s="6" t="s">
        <v>73</v>
      </c>
      <c r="D81" s="96" t="s">
        <v>63</v>
      </c>
      <c r="E81" s="166">
        <v>1033.7</v>
      </c>
      <c r="F81" s="166">
        <v>1154.7</v>
      </c>
      <c r="G81" s="166">
        <v>1405.9</v>
      </c>
      <c r="H81" s="194">
        <f>+E36-K13</f>
        <v>-1437.22</v>
      </c>
      <c r="I81" s="195">
        <f>Equity_Purchase_Price</f>
        <v>3132</v>
      </c>
      <c r="J81" s="129">
        <f>G81+H81+I81</f>
        <v>3100.6800000000003</v>
      </c>
      <c r="K81" s="195">
        <f>+J81+K135-K138</f>
        <v>3492.6632779200004</v>
      </c>
      <c r="L81" s="195">
        <f>+K81+L135-L138</f>
        <v>3732.5491082338281</v>
      </c>
      <c r="M81" s="195">
        <f>+L81+M135-M138</f>
        <v>3873.6881195433571</v>
      </c>
      <c r="N81" s="195">
        <f>+M81+N135-N138</f>
        <v>4022.7436309706527</v>
      </c>
      <c r="O81" s="195">
        <f>+N81+O135-O138</f>
        <v>4179.530641528765</v>
      </c>
      <c r="P81" s="2"/>
    </row>
    <row r="82" spans="2:26" outlineLevel="1" x14ac:dyDescent="0.25">
      <c r="B82" s="2"/>
      <c r="C82" s="2"/>
      <c r="D82" s="2"/>
      <c r="E82" s="2"/>
      <c r="F82" s="2"/>
      <c r="G82" s="2"/>
      <c r="H82" s="17"/>
      <c r="I82" s="2"/>
      <c r="J82" s="18"/>
      <c r="K82" s="2"/>
      <c r="L82" s="2"/>
      <c r="M82" s="2"/>
      <c r="N82" s="2"/>
      <c r="O82" s="2"/>
      <c r="P82" s="2"/>
    </row>
    <row r="83" spans="2:26" outlineLevel="1" x14ac:dyDescent="0.25">
      <c r="B83" s="167" t="s">
        <v>85</v>
      </c>
      <c r="C83" s="2"/>
      <c r="D83" s="96" t="s">
        <v>63</v>
      </c>
      <c r="E83" s="136">
        <f>+E79+E81</f>
        <v>9781.1</v>
      </c>
      <c r="F83" s="136">
        <f t="shared" ref="F83:G83" si="17">+F79+F81</f>
        <v>11567.300000000001</v>
      </c>
      <c r="G83" s="136">
        <f t="shared" si="17"/>
        <v>13265.3</v>
      </c>
      <c r="H83" s="17"/>
      <c r="I83" s="2"/>
      <c r="J83" s="137">
        <f t="shared" ref="J83:O83" si="18">+J79+J81</f>
        <v>15076.279920000001</v>
      </c>
      <c r="K83" s="136">
        <f t="shared" si="18"/>
        <v>17219.323605920003</v>
      </c>
      <c r="L83" s="136">
        <f t="shared" si="18"/>
        <v>19083.175037026493</v>
      </c>
      <c r="M83" s="136">
        <f t="shared" si="18"/>
        <v>20753.808832275292</v>
      </c>
      <c r="N83" s="136">
        <f t="shared" si="18"/>
        <v>22582.219946157551</v>
      </c>
      <c r="O83" s="136">
        <f t="shared" si="18"/>
        <v>24579.534223328628</v>
      </c>
      <c r="P83" s="2"/>
    </row>
    <row r="84" spans="2:26" outlineLevel="1" x14ac:dyDescent="0.25">
      <c r="B84" s="2"/>
      <c r="C84" s="2"/>
      <c r="D84" s="2"/>
      <c r="E84" s="2"/>
      <c r="F84" s="2"/>
      <c r="G84" s="2"/>
      <c r="H84" s="17"/>
      <c r="I84" s="2"/>
      <c r="J84" s="203"/>
      <c r="K84" s="2"/>
      <c r="L84" s="2"/>
      <c r="M84" s="2"/>
      <c r="N84" s="2"/>
      <c r="O84" s="2"/>
      <c r="P84" s="2"/>
    </row>
    <row r="85" spans="2:26" outlineLevel="1" x14ac:dyDescent="0.25">
      <c r="B85" s="2" t="s">
        <v>14</v>
      </c>
      <c r="C85" s="2"/>
      <c r="D85" s="2"/>
      <c r="E85" s="223">
        <f>+E69-E83</f>
        <v>0</v>
      </c>
      <c r="F85" s="223">
        <f t="shared" ref="F85:G85" si="19">+F69-F83</f>
        <v>0</v>
      </c>
      <c r="G85" s="224">
        <f t="shared" si="19"/>
        <v>0</v>
      </c>
      <c r="H85" s="223"/>
      <c r="I85" s="223"/>
      <c r="J85" s="224">
        <f t="shared" ref="J85:O85" si="20">+J69-J83</f>
        <v>0</v>
      </c>
      <c r="K85" s="223">
        <f t="shared" si="20"/>
        <v>0</v>
      </c>
      <c r="L85" s="223">
        <f t="shared" si="20"/>
        <v>0</v>
      </c>
      <c r="M85" s="223">
        <f t="shared" si="20"/>
        <v>0</v>
      </c>
      <c r="N85" s="223">
        <f t="shared" si="20"/>
        <v>0</v>
      </c>
      <c r="O85" s="223">
        <f t="shared" si="20"/>
        <v>0</v>
      </c>
      <c r="P85" s="2"/>
    </row>
    <row r="86" spans="2:26" x14ac:dyDescent="0.25">
      <c r="B86" s="2"/>
      <c r="C86" s="2"/>
      <c r="D86" s="2"/>
      <c r="E86" s="2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2"/>
    </row>
    <row r="87" spans="2:26" x14ac:dyDescent="0.25">
      <c r="B87" s="81"/>
      <c r="C87" s="81"/>
      <c r="D87" s="81"/>
      <c r="E87" s="84" t="str">
        <f>+$E$53</f>
        <v>Historical</v>
      </c>
      <c r="F87" s="84"/>
      <c r="G87" s="84"/>
      <c r="H87" s="84" t="str">
        <f>+$H$53</f>
        <v>Transaction Adjustments</v>
      </c>
      <c r="I87" s="84"/>
      <c r="J87" s="84"/>
      <c r="K87" s="84" t="str">
        <f>+$K$53</f>
        <v>Projected</v>
      </c>
      <c r="L87" s="84"/>
      <c r="M87" s="84"/>
      <c r="N87" s="84"/>
      <c r="O87" s="84"/>
      <c r="P87" s="2"/>
    </row>
    <row r="88" spans="2:26" x14ac:dyDescent="0.25">
      <c r="B88" s="87" t="s">
        <v>81</v>
      </c>
      <c r="C88" s="87"/>
      <c r="D88" s="93" t="str">
        <f>+$D$54</f>
        <v>Units:</v>
      </c>
      <c r="E88" s="85">
        <f>$E$54</f>
        <v>42004</v>
      </c>
      <c r="F88" s="85">
        <f>$F$54</f>
        <v>42369</v>
      </c>
      <c r="G88" s="86">
        <f>$G$54</f>
        <v>42735</v>
      </c>
      <c r="H88" s="88" t="str">
        <f>$H$54</f>
        <v>Debit</v>
      </c>
      <c r="I88" s="85" t="str">
        <f>$I$54</f>
        <v>Credit</v>
      </c>
      <c r="J88" s="86">
        <f>$J$54</f>
        <v>42735</v>
      </c>
      <c r="K88" s="85">
        <f>$K$54</f>
        <v>43100</v>
      </c>
      <c r="L88" s="85">
        <f>$L$54</f>
        <v>43465</v>
      </c>
      <c r="M88" s="85">
        <f>$M$54</f>
        <v>43830</v>
      </c>
      <c r="N88" s="85">
        <f>$N$54</f>
        <v>44196</v>
      </c>
      <c r="O88" s="85">
        <f>$O$54</f>
        <v>44561</v>
      </c>
      <c r="P88" s="2"/>
      <c r="Q88" s="104" t="s">
        <v>137</v>
      </c>
      <c r="R88" s="104"/>
      <c r="S88" s="104"/>
      <c r="T88" s="104"/>
      <c r="U88" s="104"/>
      <c r="V88" s="104"/>
      <c r="W88" s="104"/>
      <c r="X88" s="104"/>
      <c r="Y88" s="104"/>
      <c r="Z88" s="104"/>
    </row>
    <row r="89" spans="2:26" outlineLevel="1" x14ac:dyDescent="0.25">
      <c r="B89" s="175" t="s">
        <v>3</v>
      </c>
      <c r="C89" s="92"/>
      <c r="D89" s="92"/>
      <c r="E89" s="92"/>
      <c r="F89" s="92"/>
      <c r="G89" s="92"/>
      <c r="H89" s="100"/>
      <c r="I89" s="92"/>
      <c r="J89" s="101"/>
      <c r="K89" s="92"/>
      <c r="L89" s="92"/>
      <c r="M89" s="92"/>
      <c r="N89" s="92"/>
      <c r="O89" s="92"/>
      <c r="P89" s="2"/>
    </row>
    <row r="90" spans="2:26" outlineLevel="1" x14ac:dyDescent="0.25">
      <c r="C90" s="266" t="s">
        <v>26</v>
      </c>
      <c r="D90" s="96" t="s">
        <v>100</v>
      </c>
      <c r="E90" s="184">
        <f>+E60/7910.1-1</f>
        <v>4.0075346708638326E-2</v>
      </c>
      <c r="F90" s="184">
        <f>F60/E60-1</f>
        <v>0.16378796902918413</v>
      </c>
      <c r="G90" s="184">
        <f>G60/F60-1</f>
        <v>0.20080212228187078</v>
      </c>
      <c r="H90" s="52"/>
      <c r="I90" s="51"/>
      <c r="J90" s="53"/>
      <c r="K90" s="283">
        <v>0.15</v>
      </c>
      <c r="L90" s="284">
        <v>0.125</v>
      </c>
      <c r="M90" s="284">
        <v>0.1</v>
      </c>
      <c r="N90" s="284">
        <v>0.1</v>
      </c>
      <c r="O90" s="284">
        <v>0.1</v>
      </c>
      <c r="P90" s="2"/>
      <c r="Q90" s="311" t="s">
        <v>151</v>
      </c>
    </row>
    <row r="91" spans="2:26" outlineLevel="1" x14ac:dyDescent="0.25">
      <c r="C91" s="266" t="s">
        <v>127</v>
      </c>
      <c r="D91" s="96" t="s">
        <v>63</v>
      </c>
      <c r="E91" s="169">
        <f>+E60</f>
        <v>8227.1</v>
      </c>
      <c r="F91" s="169">
        <f t="shared" ref="F91:G91" si="21">+F60</f>
        <v>9574.6</v>
      </c>
      <c r="G91" s="169">
        <f t="shared" si="21"/>
        <v>11497.2</v>
      </c>
      <c r="H91" s="52"/>
      <c r="I91" s="51"/>
      <c r="J91" s="51"/>
      <c r="K91" s="287">
        <f>+G91*(1+K90)</f>
        <v>13221.78</v>
      </c>
      <c r="L91" s="169">
        <f>+K91*(1+L90)</f>
        <v>14874.502500000001</v>
      </c>
      <c r="M91" s="169">
        <f t="shared" ref="M91:O91" si="22">+L91*(1+M90)</f>
        <v>16361.952750000002</v>
      </c>
      <c r="N91" s="169">
        <f t="shared" si="22"/>
        <v>17998.148025000002</v>
      </c>
      <c r="O91" s="169">
        <f t="shared" si="22"/>
        <v>19797.962827500003</v>
      </c>
      <c r="P91" s="2"/>
    </row>
    <row r="92" spans="2:26" outlineLevel="1" x14ac:dyDescent="0.25">
      <c r="C92" s="266" t="s">
        <v>128</v>
      </c>
      <c r="D92" s="96" t="s">
        <v>63</v>
      </c>
      <c r="E92" s="184"/>
      <c r="F92" s="184"/>
      <c r="G92" s="184"/>
      <c r="H92" s="52"/>
      <c r="I92" s="51"/>
      <c r="J92" s="169">
        <f>-Loan_Marks</f>
        <v>344.91600000000034</v>
      </c>
      <c r="K92" s="289">
        <f>+J92+Loan_Marks/Loan_Mark_Amort_Period</f>
        <v>310.42440000000033</v>
      </c>
      <c r="L92" s="169">
        <f>+K92+Loan_Marks/Loan_Mark_Amort_Period</f>
        <v>275.93280000000027</v>
      </c>
      <c r="M92" s="169">
        <f>+L92+Loan_Marks/Loan_Mark_Amort_Period</f>
        <v>241.44120000000024</v>
      </c>
      <c r="N92" s="169">
        <f>+M92+Loan_Marks/Loan_Mark_Amort_Period</f>
        <v>206.9496000000002</v>
      </c>
      <c r="O92" s="169">
        <f>+N92+Loan_Marks/Loan_Mark_Amort_Period</f>
        <v>172.45800000000017</v>
      </c>
      <c r="P92" s="2"/>
      <c r="Q92" s="311" t="s">
        <v>152</v>
      </c>
    </row>
    <row r="93" spans="2:26" outlineLevel="1" x14ac:dyDescent="0.25">
      <c r="C93" s="266"/>
      <c r="D93" s="96"/>
      <c r="E93" s="184"/>
      <c r="F93" s="184"/>
      <c r="G93" s="184"/>
      <c r="H93" s="52"/>
      <c r="I93" s="51"/>
      <c r="J93" s="51"/>
      <c r="K93" s="288"/>
      <c r="L93" s="282"/>
      <c r="M93" s="282"/>
      <c r="N93" s="282"/>
      <c r="O93" s="282"/>
      <c r="P93" s="2"/>
    </row>
    <row r="94" spans="2:26" outlineLevel="1" x14ac:dyDescent="0.25">
      <c r="C94" s="266" t="s">
        <v>27</v>
      </c>
      <c r="D94" s="96" t="s">
        <v>100</v>
      </c>
      <c r="E94" s="50">
        <f>-E61/E60</f>
        <v>1.061127250185363E-2</v>
      </c>
      <c r="F94" s="50">
        <f>-F61/F60</f>
        <v>9.4625362939443937E-3</v>
      </c>
      <c r="G94" s="172">
        <f>-G61/G60</f>
        <v>8.4890234143965484E-3</v>
      </c>
      <c r="H94" s="52"/>
      <c r="I94" s="51"/>
      <c r="J94" s="53"/>
      <c r="K94" s="285">
        <v>8.5000000000000006E-3</v>
      </c>
      <c r="L94" s="286">
        <v>8.6999999999999994E-3</v>
      </c>
      <c r="M94" s="286">
        <v>8.9999999999999993E-3</v>
      </c>
      <c r="N94" s="286">
        <v>9.1999999999999998E-3</v>
      </c>
      <c r="O94" s="286">
        <v>9.4999999999999998E-3</v>
      </c>
      <c r="P94" s="2"/>
      <c r="Q94" s="311" t="s">
        <v>153</v>
      </c>
    </row>
    <row r="95" spans="2:26" outlineLevel="1" x14ac:dyDescent="0.25">
      <c r="C95" s="5"/>
      <c r="D95" s="2"/>
      <c r="E95" s="2"/>
      <c r="F95" s="2"/>
      <c r="G95" s="173"/>
      <c r="H95" s="17"/>
      <c r="I95" s="2"/>
      <c r="J95" s="18"/>
      <c r="K95" s="2"/>
      <c r="L95" s="2"/>
      <c r="M95" s="2"/>
      <c r="N95" s="2"/>
      <c r="O95" s="2"/>
      <c r="P95" s="2"/>
    </row>
    <row r="96" spans="2:26" outlineLevel="1" x14ac:dyDescent="0.25">
      <c r="C96" s="89" t="s">
        <v>15</v>
      </c>
      <c r="D96" s="96" t="s">
        <v>100</v>
      </c>
      <c r="E96" s="50">
        <f>E56/E74</f>
        <v>2.0418258733624454E-2</v>
      </c>
      <c r="F96" s="50">
        <f>F56/F74</f>
        <v>1.8200888450148077E-2</v>
      </c>
      <c r="G96" s="172">
        <f>G56/G74</f>
        <v>2.0183138274815778E-2</v>
      </c>
      <c r="H96" s="52"/>
      <c r="I96" s="51"/>
      <c r="J96" s="53"/>
      <c r="K96" s="182">
        <f>AVERAGE(E96:G96)</f>
        <v>1.9600761819529435E-2</v>
      </c>
      <c r="L96" s="182">
        <f>+K96</f>
        <v>1.9600761819529435E-2</v>
      </c>
      <c r="M96" s="182">
        <f t="shared" ref="M96:O96" si="23">+L96</f>
        <v>1.9600761819529435E-2</v>
      </c>
      <c r="N96" s="182">
        <f t="shared" si="23"/>
        <v>1.9600761819529435E-2</v>
      </c>
      <c r="O96" s="182">
        <f t="shared" si="23"/>
        <v>1.9600761819529435E-2</v>
      </c>
      <c r="P96" s="2"/>
    </row>
    <row r="97" spans="2:26" outlineLevel="1" x14ac:dyDescent="0.25">
      <c r="C97" s="122" t="s">
        <v>16</v>
      </c>
      <c r="D97" s="96" t="s">
        <v>100</v>
      </c>
      <c r="E97" s="184">
        <f>E58/497.2-1</f>
        <v>-0.26448109412711185</v>
      </c>
      <c r="F97" s="184">
        <f>F58/E58-1</f>
        <v>0.70713699753896631</v>
      </c>
      <c r="G97" s="184">
        <f>G58/F58-1</f>
        <v>-0.35191414384110198</v>
      </c>
      <c r="H97" s="52"/>
      <c r="I97" s="51"/>
      <c r="J97" s="53"/>
      <c r="K97" s="178">
        <v>0.1</v>
      </c>
      <c r="L97" s="178">
        <v>0.09</v>
      </c>
      <c r="M97" s="178">
        <v>0.08</v>
      </c>
      <c r="N97" s="178">
        <v>7.0000000000000007E-2</v>
      </c>
      <c r="O97" s="178">
        <v>0.06</v>
      </c>
      <c r="P97" s="2"/>
    </row>
    <row r="98" spans="2:26" outlineLevel="1" x14ac:dyDescent="0.25">
      <c r="C98" s="89" t="s">
        <v>92</v>
      </c>
      <c r="D98" s="96" t="s">
        <v>100</v>
      </c>
      <c r="E98" s="184">
        <f>+E67/E74</f>
        <v>0.17281318231441048</v>
      </c>
      <c r="F98" s="184">
        <f>+F67/F74</f>
        <v>0.18412203849950642</v>
      </c>
      <c r="G98" s="184">
        <f>+G67/G74</f>
        <v>0.15699501517121803</v>
      </c>
      <c r="H98" s="17"/>
      <c r="I98" s="2"/>
      <c r="J98" s="18"/>
      <c r="K98" s="192">
        <f>AVERAGE(E98:G98)</f>
        <v>0.17131007866171166</v>
      </c>
      <c r="L98" s="192">
        <f>+K98</f>
        <v>0.17131007866171166</v>
      </c>
      <c r="M98" s="192">
        <f t="shared" ref="M98:O98" si="24">+L98</f>
        <v>0.17131007866171166</v>
      </c>
      <c r="N98" s="192">
        <f t="shared" si="24"/>
        <v>0.17131007866171166</v>
      </c>
      <c r="O98" s="192">
        <f t="shared" si="24"/>
        <v>0.17131007866171166</v>
      </c>
      <c r="P98" s="2"/>
    </row>
    <row r="99" spans="2:26" outlineLevel="1" x14ac:dyDescent="0.25">
      <c r="C99" s="2"/>
      <c r="D99" s="2"/>
      <c r="E99" s="2"/>
      <c r="F99" s="50"/>
      <c r="G99" s="51"/>
      <c r="H99" s="52"/>
      <c r="I99" s="51"/>
      <c r="J99" s="53"/>
      <c r="K99" s="2"/>
      <c r="L99" s="2"/>
      <c r="M99" s="2"/>
      <c r="N99" s="2"/>
      <c r="O99" s="2"/>
      <c r="P99" s="2"/>
    </row>
    <row r="100" spans="2:26" outlineLevel="1" x14ac:dyDescent="0.25">
      <c r="B100" s="268" t="s">
        <v>9</v>
      </c>
      <c r="C100" s="105"/>
      <c r="D100" s="105"/>
      <c r="E100" s="105"/>
      <c r="F100" s="269"/>
      <c r="G100" s="270"/>
      <c r="H100" s="271"/>
      <c r="I100" s="270"/>
      <c r="J100" s="272"/>
      <c r="K100" s="105"/>
      <c r="L100" s="105"/>
      <c r="M100" s="105"/>
      <c r="N100" s="105"/>
      <c r="O100" s="105"/>
      <c r="P100" s="2"/>
    </row>
    <row r="101" spans="2:26" outlineLevel="1" x14ac:dyDescent="0.25">
      <c r="C101" s="89" t="s">
        <v>32</v>
      </c>
      <c r="D101" s="96" t="s">
        <v>100</v>
      </c>
      <c r="E101" s="184">
        <f>E74/E$60</f>
        <v>0.71257186614967605</v>
      </c>
      <c r="F101" s="184">
        <f>F74/F$60</f>
        <v>0.67712489294591938</v>
      </c>
      <c r="G101" s="184">
        <f>G74/G$60</f>
        <v>0.64210416449222407</v>
      </c>
      <c r="H101" s="52"/>
      <c r="I101" s="51"/>
      <c r="J101" s="53"/>
      <c r="K101" s="267">
        <v>0.64</v>
      </c>
      <c r="L101" s="267">
        <v>0.63</v>
      </c>
      <c r="M101" s="267">
        <v>0.62</v>
      </c>
      <c r="N101" s="267">
        <v>0.61</v>
      </c>
      <c r="O101" s="267">
        <v>0.6</v>
      </c>
      <c r="P101" s="2"/>
    </row>
    <row r="102" spans="2:26" outlineLevel="1" x14ac:dyDescent="0.25">
      <c r="C102" s="122" t="s">
        <v>93</v>
      </c>
      <c r="D102" s="96" t="s">
        <v>100</v>
      </c>
      <c r="E102" s="174">
        <f>E76/E60</f>
        <v>1.4354997508234978E-2</v>
      </c>
      <c r="F102" s="174">
        <f>F76/F60</f>
        <v>1.3034487080400226E-2</v>
      </c>
      <c r="G102" s="172">
        <f>G76/G60</f>
        <v>1.0237275162648296E-2</v>
      </c>
      <c r="H102" s="52"/>
      <c r="I102" s="51"/>
      <c r="J102" s="53"/>
      <c r="K102" s="179">
        <v>0.01</v>
      </c>
      <c r="L102" s="179">
        <v>9.7999999999999997E-3</v>
      </c>
      <c r="M102" s="179">
        <v>9.5999999999999992E-3</v>
      </c>
      <c r="N102" s="179">
        <v>9.4999999999999998E-3</v>
      </c>
      <c r="O102" s="179">
        <v>9.4999999999999998E-3</v>
      </c>
      <c r="P102" s="2"/>
    </row>
    <row r="103" spans="2:26" outlineLevel="1" x14ac:dyDescent="0.25">
      <c r="C103" s="89" t="s">
        <v>17</v>
      </c>
      <c r="D103" s="96" t="s">
        <v>100</v>
      </c>
      <c r="E103" s="193">
        <f>E78/E60</f>
        <v>0.336315348057031</v>
      </c>
      <c r="F103" s="193">
        <f>F78/F60</f>
        <v>0.39736385854239337</v>
      </c>
      <c r="G103" s="184">
        <f>G78/G60</f>
        <v>0.37916188289322617</v>
      </c>
      <c r="H103" s="52"/>
      <c r="I103" s="51"/>
      <c r="J103" s="53"/>
      <c r="K103" s="178">
        <v>0.38</v>
      </c>
      <c r="L103" s="178">
        <v>0.38500000000000001</v>
      </c>
      <c r="M103" s="178">
        <v>0.39500000000000002</v>
      </c>
      <c r="N103" s="178">
        <v>0.4</v>
      </c>
      <c r="O103" s="178">
        <v>0.40500000000000003</v>
      </c>
      <c r="P103" s="2"/>
    </row>
    <row r="104" spans="2:26" outlineLevel="1" x14ac:dyDescent="0.25">
      <c r="C104" s="12"/>
      <c r="D104" s="2"/>
      <c r="E104" s="2"/>
      <c r="F104" s="50"/>
      <c r="G104" s="51"/>
      <c r="H104" s="52"/>
      <c r="I104" s="51"/>
      <c r="J104" s="53"/>
      <c r="K104" s="2"/>
      <c r="L104" s="2"/>
      <c r="M104" s="2"/>
      <c r="N104" s="2"/>
      <c r="O104" s="2"/>
      <c r="P104" s="2"/>
    </row>
    <row r="105" spans="2:26" outlineLevel="1" x14ac:dyDescent="0.25">
      <c r="B105" s="273" t="s">
        <v>18</v>
      </c>
      <c r="C105" s="105"/>
      <c r="D105" s="105"/>
      <c r="E105" s="105"/>
      <c r="F105" s="105"/>
      <c r="G105" s="268"/>
      <c r="H105" s="274"/>
      <c r="I105" s="268"/>
      <c r="J105" s="275"/>
      <c r="K105" s="105"/>
      <c r="L105" s="105"/>
      <c r="M105" s="105"/>
      <c r="N105" s="105"/>
      <c r="O105" s="105"/>
      <c r="P105" s="2"/>
    </row>
    <row r="106" spans="2:26" outlineLevel="1" x14ac:dyDescent="0.25">
      <c r="C106" s="89" t="s">
        <v>20</v>
      </c>
      <c r="D106" s="96" t="s">
        <v>63</v>
      </c>
      <c r="E106" s="2"/>
      <c r="F106" s="2"/>
      <c r="G106" s="5"/>
      <c r="H106" s="36"/>
      <c r="I106" s="5"/>
      <c r="J106" s="56"/>
      <c r="K106" s="29">
        <f>+K56+J57+K58+K62+SUM(K64:K67)</f>
        <v>17179.889834773163</v>
      </c>
      <c r="L106" s="29">
        <f>+L56+K57+L58+L62+SUM(L64:L67)</f>
        <v>19083.175037026493</v>
      </c>
      <c r="M106" s="29">
        <f>+M56+L57+M58+M62+SUM(M64:M67)</f>
        <v>20753.808832275292</v>
      </c>
      <c r="N106" s="29">
        <f>+N56+M57+N58+N62+SUM(N64:N67)</f>
        <v>22582.219946157555</v>
      </c>
      <c r="O106" s="29">
        <f>+O56+N57+O58+O62+SUM(O64:O67)</f>
        <v>24579.534223328628</v>
      </c>
      <c r="P106" s="2"/>
    </row>
    <row r="107" spans="2:26" outlineLevel="1" x14ac:dyDescent="0.25">
      <c r="C107" s="89" t="s">
        <v>21</v>
      </c>
      <c r="D107" s="96" t="s">
        <v>63</v>
      </c>
      <c r="E107" s="2"/>
      <c r="F107" s="2"/>
      <c r="G107" s="57"/>
      <c r="H107" s="58"/>
      <c r="I107" s="57"/>
      <c r="J107" s="59"/>
      <c r="K107" s="29">
        <f>+K74+J75+SUM(K76:K78)+K81</f>
        <v>17219.323605920003</v>
      </c>
      <c r="L107" s="29">
        <f>+L74+K75+SUM(L76:L78)+L81</f>
        <v>19076.193206233827</v>
      </c>
      <c r="M107" s="29">
        <f>+M74+L75+SUM(M76:M78)+M81</f>
        <v>20737.407681986024</v>
      </c>
      <c r="N107" s="29">
        <f>+N74+M75+SUM(N76:N78)+N81</f>
        <v>22479.54647554009</v>
      </c>
      <c r="O107" s="29">
        <f>+O74+N75+SUM(O76:O78)+O81</f>
        <v>24466.955341726913</v>
      </c>
      <c r="P107" s="2"/>
    </row>
    <row r="108" spans="2:26" outlineLevel="1" x14ac:dyDescent="0.25">
      <c r="C108" s="89" t="s">
        <v>22</v>
      </c>
      <c r="D108" s="96" t="s">
        <v>63</v>
      </c>
      <c r="E108" s="2"/>
      <c r="F108" s="2"/>
      <c r="G108" s="57"/>
      <c r="H108" s="58"/>
      <c r="I108" s="57"/>
      <c r="J108" s="59"/>
      <c r="K108" s="212">
        <f>MAX(K107-K106,0)</f>
        <v>39.433771146839717</v>
      </c>
      <c r="L108" s="212">
        <f t="shared" ref="L108:O108" si="25">MAX(L107-L106,0)</f>
        <v>0</v>
      </c>
      <c r="M108" s="212">
        <f t="shared" si="25"/>
        <v>0</v>
      </c>
      <c r="N108" s="212">
        <f t="shared" si="25"/>
        <v>0</v>
      </c>
      <c r="O108" s="212">
        <f t="shared" si="25"/>
        <v>0</v>
      </c>
      <c r="P108" s="2"/>
    </row>
    <row r="109" spans="2:26" outlineLevel="1" x14ac:dyDescent="0.25">
      <c r="C109" s="89" t="s">
        <v>23</v>
      </c>
      <c r="D109" s="96" t="s">
        <v>63</v>
      </c>
      <c r="E109" s="2"/>
      <c r="F109" s="2"/>
      <c r="G109" s="2"/>
      <c r="H109" s="17"/>
      <c r="I109" s="2"/>
      <c r="J109" s="18"/>
      <c r="K109" s="212">
        <f>MAX(K106-K107,0)</f>
        <v>0</v>
      </c>
      <c r="L109" s="212">
        <f t="shared" ref="L109:O109" si="26">MAX(L106-L107,0)</f>
        <v>6.9818307926652778</v>
      </c>
      <c r="M109" s="212">
        <f t="shared" si="26"/>
        <v>16.401150289268116</v>
      </c>
      <c r="N109" s="212">
        <f t="shared" si="26"/>
        <v>102.67347061746477</v>
      </c>
      <c r="O109" s="212">
        <f t="shared" si="26"/>
        <v>112.57888160171569</v>
      </c>
      <c r="P109" s="2"/>
    </row>
    <row r="110" spans="2:26" x14ac:dyDescent="0.25">
      <c r="B110" s="2"/>
      <c r="C110" s="2"/>
      <c r="D110" s="2"/>
      <c r="E110" s="2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2"/>
    </row>
    <row r="111" spans="2:26" x14ac:dyDescent="0.25">
      <c r="B111" s="81"/>
      <c r="C111" s="81"/>
      <c r="D111" s="81"/>
      <c r="E111" s="84" t="str">
        <f>+$E$53</f>
        <v>Historical</v>
      </c>
      <c r="F111" s="84"/>
      <c r="G111" s="84"/>
      <c r="H111" s="84" t="str">
        <f>+$H$53</f>
        <v>Transaction Adjustments</v>
      </c>
      <c r="I111" s="84"/>
      <c r="J111" s="84"/>
      <c r="K111" s="84" t="str">
        <f>+$K$53</f>
        <v>Projected</v>
      </c>
      <c r="L111" s="84"/>
      <c r="M111" s="84"/>
      <c r="N111" s="84"/>
      <c r="O111" s="84"/>
      <c r="P111" s="2"/>
    </row>
    <row r="112" spans="2:26" x14ac:dyDescent="0.25">
      <c r="B112" s="87" t="s">
        <v>83</v>
      </c>
      <c r="C112" s="87"/>
      <c r="D112" s="93" t="str">
        <f>+$D$54</f>
        <v>Units:</v>
      </c>
      <c r="E112" s="85">
        <f>$E$54</f>
        <v>42004</v>
      </c>
      <c r="F112" s="85">
        <f>$F$54</f>
        <v>42369</v>
      </c>
      <c r="G112" s="86">
        <f>$G$54</f>
        <v>42735</v>
      </c>
      <c r="H112" s="88" t="str">
        <f>$H$54</f>
        <v>Debit</v>
      </c>
      <c r="I112" s="85" t="str">
        <f>$I$54</f>
        <v>Credit</v>
      </c>
      <c r="J112" s="86">
        <f>$J$54</f>
        <v>42735</v>
      </c>
      <c r="K112" s="85">
        <f>$K$54</f>
        <v>43100</v>
      </c>
      <c r="L112" s="85">
        <f>$L$54</f>
        <v>43465</v>
      </c>
      <c r="M112" s="85">
        <f>$M$54</f>
        <v>43830</v>
      </c>
      <c r="N112" s="85">
        <f>$N$54</f>
        <v>44196</v>
      </c>
      <c r="O112" s="85">
        <f>$O$54</f>
        <v>44561</v>
      </c>
      <c r="P112" s="2"/>
      <c r="Q112" s="104" t="s">
        <v>137</v>
      </c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spans="2:17" outlineLevel="1" x14ac:dyDescent="0.25">
      <c r="B113" s="80"/>
      <c r="C113" s="2"/>
      <c r="D113" s="2"/>
      <c r="E113" s="2"/>
      <c r="F113" s="37"/>
      <c r="G113" s="37"/>
      <c r="H113" s="38"/>
      <c r="I113" s="39"/>
      <c r="J113" s="40"/>
      <c r="K113" s="37"/>
      <c r="L113" s="37"/>
      <c r="M113" s="37"/>
      <c r="N113" s="37"/>
      <c r="O113" s="37"/>
      <c r="P113" s="2"/>
    </row>
    <row r="114" spans="2:17" outlineLevel="1" x14ac:dyDescent="0.25">
      <c r="B114" s="12"/>
      <c r="C114" s="122" t="str">
        <f>Company_Name&amp;" - Equity:"</f>
        <v>MidFirst Bank - Equity:</v>
      </c>
      <c r="D114" s="204" t="s">
        <v>63</v>
      </c>
      <c r="E114" s="168">
        <f>+E81</f>
        <v>1033.7</v>
      </c>
      <c r="F114" s="168">
        <f>+F81</f>
        <v>1154.7</v>
      </c>
      <c r="G114" s="168">
        <f>+G81</f>
        <v>1405.9</v>
      </c>
      <c r="H114" s="280">
        <f>+H81</f>
        <v>-1437.22</v>
      </c>
      <c r="I114" s="281">
        <f>+I81</f>
        <v>3132</v>
      </c>
      <c r="J114" s="208">
        <f>+G114+H114+I114</f>
        <v>3100.6800000000003</v>
      </c>
      <c r="K114" s="168">
        <f>+K81</f>
        <v>3492.6632779200004</v>
      </c>
      <c r="L114" s="168">
        <f>+L81</f>
        <v>3732.5491082338281</v>
      </c>
      <c r="M114" s="168">
        <f>+M81</f>
        <v>3873.6881195433571</v>
      </c>
      <c r="N114" s="168">
        <f>+N81</f>
        <v>4022.7436309706527</v>
      </c>
      <c r="O114" s="168">
        <f>+O81</f>
        <v>4179.530641528765</v>
      </c>
      <c r="P114" s="2"/>
      <c r="Q114" s="311" t="s">
        <v>154</v>
      </c>
    </row>
    <row r="115" spans="2:17" outlineLevel="1" x14ac:dyDescent="0.25">
      <c r="B115" s="94"/>
      <c r="C115" s="187" t="s">
        <v>96</v>
      </c>
      <c r="D115" s="204" t="s">
        <v>63</v>
      </c>
      <c r="E115" s="261">
        <f t="shared" ref="E115:I117" si="27">-E64</f>
        <v>-93.3</v>
      </c>
      <c r="F115" s="261">
        <f t="shared" si="27"/>
        <v>-95</v>
      </c>
      <c r="G115" s="261">
        <f t="shared" si="27"/>
        <v>-97.4</v>
      </c>
      <c r="H115" s="155">
        <f t="shared" si="27"/>
        <v>-1952.2161200000005</v>
      </c>
      <c r="I115" s="156">
        <f t="shared" si="27"/>
        <v>97.4</v>
      </c>
      <c r="J115" s="262">
        <f t="shared" ref="J115:J117" si="28">+G115+H115+I115</f>
        <v>-1952.2161200000005</v>
      </c>
      <c r="K115" s="261">
        <f t="shared" ref="K115:O117" si="29">-K64</f>
        <v>-1952.2161200000005</v>
      </c>
      <c r="L115" s="261">
        <f t="shared" si="29"/>
        <v>-1952.2161200000005</v>
      </c>
      <c r="M115" s="261">
        <f t="shared" si="29"/>
        <v>-1952.2161200000005</v>
      </c>
      <c r="N115" s="261">
        <f t="shared" si="29"/>
        <v>-1952.2161200000005</v>
      </c>
      <c r="O115" s="261">
        <f t="shared" si="29"/>
        <v>-1952.2161200000005</v>
      </c>
      <c r="P115" s="2"/>
    </row>
    <row r="116" spans="2:17" outlineLevel="1" x14ac:dyDescent="0.25">
      <c r="B116" s="12"/>
      <c r="C116" s="263" t="s">
        <v>97</v>
      </c>
      <c r="D116" s="206" t="s">
        <v>63</v>
      </c>
      <c r="E116" s="264">
        <f t="shared" si="27"/>
        <v>-49.5</v>
      </c>
      <c r="F116" s="264">
        <f t="shared" si="27"/>
        <v>-52.3</v>
      </c>
      <c r="G116" s="265">
        <f t="shared" si="27"/>
        <v>-55.7</v>
      </c>
      <c r="H116" s="277">
        <f t="shared" si="27"/>
        <v>-91.175000000000011</v>
      </c>
      <c r="I116" s="278">
        <f t="shared" si="27"/>
        <v>55.7</v>
      </c>
      <c r="J116" s="265">
        <f t="shared" si="28"/>
        <v>-91.174999999999997</v>
      </c>
      <c r="K116" s="264">
        <f t="shared" si="29"/>
        <v>-91.174999999999997</v>
      </c>
      <c r="L116" s="264">
        <f t="shared" si="29"/>
        <v>-91.174999999999997</v>
      </c>
      <c r="M116" s="264">
        <f t="shared" si="29"/>
        <v>-91.174999999999997</v>
      </c>
      <c r="N116" s="264">
        <f t="shared" si="29"/>
        <v>-91.174999999999997</v>
      </c>
      <c r="O116" s="264">
        <f t="shared" si="29"/>
        <v>-91.174999999999997</v>
      </c>
      <c r="P116" s="2"/>
      <c r="Q116" s="311" t="s">
        <v>155</v>
      </c>
    </row>
    <row r="117" spans="2:17" outlineLevel="1" x14ac:dyDescent="0.25">
      <c r="C117" s="258" t="s">
        <v>104</v>
      </c>
      <c r="D117" s="227" t="s">
        <v>63</v>
      </c>
      <c r="E117" s="259">
        <f t="shared" si="27"/>
        <v>0</v>
      </c>
      <c r="F117" s="259">
        <f t="shared" si="27"/>
        <v>0</v>
      </c>
      <c r="G117" s="260">
        <f t="shared" si="27"/>
        <v>0</v>
      </c>
      <c r="H117" s="279">
        <f t="shared" si="27"/>
        <v>-199.32479999999998</v>
      </c>
      <c r="I117" s="279">
        <f t="shared" si="27"/>
        <v>0</v>
      </c>
      <c r="J117" s="260">
        <f t="shared" si="28"/>
        <v>-199.32479999999998</v>
      </c>
      <c r="K117" s="259">
        <f t="shared" si="29"/>
        <v>-179.39231999999998</v>
      </c>
      <c r="L117" s="259">
        <f t="shared" si="29"/>
        <v>-159.45983999999999</v>
      </c>
      <c r="M117" s="259">
        <f t="shared" si="29"/>
        <v>-139.52735999999999</v>
      </c>
      <c r="N117" s="259">
        <f t="shared" si="29"/>
        <v>-119.59487999999999</v>
      </c>
      <c r="O117" s="259">
        <f t="shared" si="29"/>
        <v>-99.662399999999991</v>
      </c>
    </row>
    <row r="118" spans="2:17" outlineLevel="1" x14ac:dyDescent="0.25">
      <c r="B118" s="12"/>
      <c r="C118" s="95" t="s">
        <v>98</v>
      </c>
      <c r="D118" s="204" t="s">
        <v>63</v>
      </c>
      <c r="E118" s="225">
        <f>SUM(E114:E117)</f>
        <v>890.90000000000009</v>
      </c>
      <c r="F118" s="225">
        <f t="shared" ref="F118:G118" si="30">SUM(F114:F117)</f>
        <v>1007.4000000000001</v>
      </c>
      <c r="G118" s="225">
        <f t="shared" si="30"/>
        <v>1252.8</v>
      </c>
      <c r="H118" s="33"/>
      <c r="I118" s="29"/>
      <c r="J118" s="226">
        <f t="shared" ref="J118" si="31">SUM(J114:J117)</f>
        <v>857.96407999999985</v>
      </c>
      <c r="K118" s="225">
        <f t="shared" ref="K118" si="32">SUM(K114:K117)</f>
        <v>1269.87983792</v>
      </c>
      <c r="L118" s="225">
        <f t="shared" ref="L118" si="33">SUM(L114:L117)</f>
        <v>1529.6981482338276</v>
      </c>
      <c r="M118" s="225">
        <f t="shared" ref="M118" si="34">SUM(M114:M117)</f>
        <v>1690.7696395433566</v>
      </c>
      <c r="N118" s="225">
        <f t="shared" ref="N118" si="35">SUM(N114:N117)</f>
        <v>1859.7576309706524</v>
      </c>
      <c r="O118" s="225">
        <f t="shared" ref="O118" si="36">SUM(O114:O117)</f>
        <v>2036.4771215287644</v>
      </c>
      <c r="P118" s="2"/>
      <c r="Q118" s="311" t="s">
        <v>156</v>
      </c>
    </row>
    <row r="119" spans="2:17" outlineLevel="1" x14ac:dyDescent="0.25">
      <c r="B119" s="12"/>
      <c r="C119" s="205"/>
      <c r="D119" s="205"/>
      <c r="E119" s="2"/>
      <c r="F119" s="25"/>
      <c r="G119" s="26"/>
      <c r="H119" s="27"/>
      <c r="I119" s="25"/>
      <c r="J119" s="28"/>
      <c r="K119" s="29"/>
      <c r="L119" s="29"/>
      <c r="M119" s="29"/>
      <c r="N119" s="29"/>
      <c r="O119" s="29"/>
      <c r="P119" s="2"/>
    </row>
    <row r="120" spans="2:17" outlineLevel="1" x14ac:dyDescent="0.25">
      <c r="B120" s="12"/>
      <c r="C120" s="205" t="s">
        <v>24</v>
      </c>
      <c r="D120" s="204" t="s">
        <v>63</v>
      </c>
      <c r="E120" s="162">
        <v>6444.6</v>
      </c>
      <c r="F120" s="162">
        <v>7445.1969999999992</v>
      </c>
      <c r="G120" s="162">
        <v>9493.67088607595</v>
      </c>
      <c r="H120" s="43"/>
      <c r="I120" s="37"/>
      <c r="J120" s="207">
        <f>+G120</f>
        <v>9493.67088607595</v>
      </c>
      <c r="K120" s="310">
        <f>+K121*(K57+K58+K91)</f>
        <v>10965.019016917473</v>
      </c>
      <c r="L120" s="162">
        <f t="shared" ref="L120:O120" si="37">+L121*(L57+L58+L91)</f>
        <v>12319.241336917474</v>
      </c>
      <c r="M120" s="162">
        <f t="shared" si="37"/>
        <v>13624.875478283209</v>
      </c>
      <c r="N120" s="162">
        <f t="shared" si="37"/>
        <v>14971.535827671409</v>
      </c>
      <c r="O120" s="162">
        <f t="shared" si="37"/>
        <v>16447.4636925903</v>
      </c>
      <c r="P120" s="2"/>
    </row>
    <row r="121" spans="2:17" outlineLevel="1" x14ac:dyDescent="0.25">
      <c r="B121" s="94"/>
      <c r="C121" s="186" t="s">
        <v>103</v>
      </c>
      <c r="D121" s="96" t="s">
        <v>100</v>
      </c>
      <c r="E121" s="184">
        <f>+E120/(E57+E58+E60)</f>
        <v>0.75</v>
      </c>
      <c r="F121" s="184">
        <f>+F120/(F57+F58+F60)</f>
        <v>0.73</v>
      </c>
      <c r="G121" s="184">
        <f>+G120/(G57+G58+G60)</f>
        <v>0.79766681393368644</v>
      </c>
      <c r="H121" s="42"/>
      <c r="I121" s="41"/>
      <c r="J121" s="209">
        <f>+J120/(J57+J58+J60)</f>
        <v>0.8214732350065943</v>
      </c>
      <c r="K121" s="178">
        <v>0.8</v>
      </c>
      <c r="L121" s="178">
        <v>0.8</v>
      </c>
      <c r="M121" s="178">
        <v>0.80500000000000005</v>
      </c>
      <c r="N121" s="178">
        <v>0.80500000000000005</v>
      </c>
      <c r="O121" s="178">
        <v>0.80500000000000005</v>
      </c>
      <c r="P121" s="2"/>
    </row>
    <row r="122" spans="2:17" outlineLevel="1" x14ac:dyDescent="0.25">
      <c r="B122" s="94"/>
      <c r="C122" s="205"/>
      <c r="D122" s="205"/>
      <c r="E122" s="2"/>
      <c r="F122" s="41"/>
      <c r="G122" s="46"/>
      <c r="H122" s="42"/>
      <c r="I122" s="41"/>
      <c r="J122" s="24"/>
      <c r="K122" s="41"/>
      <c r="L122" s="41"/>
      <c r="M122" s="41"/>
      <c r="N122" s="41"/>
      <c r="O122" s="41"/>
      <c r="P122" s="2"/>
    </row>
    <row r="123" spans="2:17" outlineLevel="1" x14ac:dyDescent="0.25">
      <c r="B123" s="12"/>
      <c r="C123" s="4" t="s">
        <v>99</v>
      </c>
      <c r="D123" s="96" t="s">
        <v>100</v>
      </c>
      <c r="E123" s="46">
        <f>+E118/E120</f>
        <v>0.13823976662632281</v>
      </c>
      <c r="F123" s="46">
        <f>+F118/F120</f>
        <v>0.13530870976281759</v>
      </c>
      <c r="G123" s="46">
        <f>+G118/G120</f>
        <v>0.13196159999999998</v>
      </c>
      <c r="H123" s="45"/>
      <c r="I123" s="44"/>
      <c r="J123" s="28"/>
      <c r="K123" s="46">
        <f>+K118/K120</f>
        <v>0.11581191386542559</v>
      </c>
      <c r="L123" s="46">
        <f t="shared" ref="L123:O123" si="38">+L118/L120</f>
        <v>0.12417145718622551</v>
      </c>
      <c r="M123" s="46">
        <f t="shared" si="38"/>
        <v>0.12409431867750181</v>
      </c>
      <c r="N123" s="46">
        <f t="shared" si="38"/>
        <v>0.12421956253367955</v>
      </c>
      <c r="O123" s="46">
        <f t="shared" si="38"/>
        <v>0.12381709177726971</v>
      </c>
      <c r="P123" s="2"/>
    </row>
    <row r="124" spans="2:17" outlineLevel="1" x14ac:dyDescent="0.25">
      <c r="B124" s="12"/>
      <c r="C124" s="183"/>
      <c r="D124" s="173"/>
      <c r="E124" s="2"/>
      <c r="F124" s="29"/>
      <c r="G124" s="44"/>
      <c r="H124" s="45"/>
      <c r="I124" s="44"/>
      <c r="J124" s="28"/>
      <c r="K124" s="29"/>
      <c r="L124" s="29"/>
      <c r="M124" s="29"/>
      <c r="N124" s="29"/>
      <c r="O124" s="29"/>
      <c r="P124" s="2"/>
    </row>
    <row r="125" spans="2:17" outlineLevel="1" x14ac:dyDescent="0.25">
      <c r="B125" s="94"/>
      <c r="C125" s="205" t="s">
        <v>101</v>
      </c>
      <c r="D125" s="204" t="s">
        <v>63</v>
      </c>
      <c r="E125" s="2"/>
      <c r="F125" s="41"/>
      <c r="G125" s="41"/>
      <c r="H125" s="42"/>
      <c r="I125" s="41"/>
      <c r="J125" s="24"/>
      <c r="K125" s="162">
        <f>Targeted_CET_1*J120</f>
        <v>949.36708860759506</v>
      </c>
      <c r="L125" s="162">
        <f>Targeted_CET_1*K120</f>
        <v>1096.5019016917474</v>
      </c>
      <c r="M125" s="162">
        <f>Targeted_CET_1*L120</f>
        <v>1231.9241336917476</v>
      </c>
      <c r="N125" s="162">
        <f>Targeted_CET_1*M120</f>
        <v>1362.4875478283211</v>
      </c>
      <c r="O125" s="162">
        <f>Targeted_CET_1*N120</f>
        <v>1497.153582767141</v>
      </c>
      <c r="P125" s="2"/>
    </row>
    <row r="126" spans="2:17" outlineLevel="1" x14ac:dyDescent="0.25">
      <c r="B126" s="12"/>
      <c r="C126" s="205" t="s">
        <v>102</v>
      </c>
      <c r="D126" s="204" t="s">
        <v>63</v>
      </c>
      <c r="E126" s="2"/>
      <c r="F126" s="13"/>
      <c r="G126" s="46"/>
      <c r="H126" s="47"/>
      <c r="I126" s="46"/>
      <c r="J126" s="48"/>
      <c r="K126" s="210">
        <f>MAX(J118-K125,0)</f>
        <v>0</v>
      </c>
      <c r="L126" s="210">
        <f t="shared" ref="L126:O126" si="39">MAX(K118-L125,0)</f>
        <v>173.37793622825257</v>
      </c>
      <c r="M126" s="210">
        <f t="shared" si="39"/>
        <v>297.77401454208007</v>
      </c>
      <c r="N126" s="210">
        <f t="shared" si="39"/>
        <v>328.28209171503545</v>
      </c>
      <c r="O126" s="210">
        <f t="shared" si="39"/>
        <v>362.60404820351141</v>
      </c>
      <c r="P126" s="2"/>
    </row>
    <row r="128" spans="2:17" x14ac:dyDescent="0.25">
      <c r="B128" s="81"/>
      <c r="C128" s="81"/>
      <c r="D128" s="81"/>
      <c r="E128" s="84" t="str">
        <f>+$E$53</f>
        <v>Historical</v>
      </c>
      <c r="F128" s="84"/>
      <c r="G128" s="84"/>
      <c r="H128" s="84" t="str">
        <f>+$H$53</f>
        <v>Transaction Adjustments</v>
      </c>
      <c r="I128" s="84"/>
      <c r="J128" s="84"/>
      <c r="K128" s="84" t="str">
        <f>+$K$53</f>
        <v>Projected</v>
      </c>
      <c r="L128" s="84"/>
      <c r="M128" s="84"/>
      <c r="N128" s="84"/>
      <c r="O128" s="84"/>
      <c r="P128" s="2"/>
    </row>
    <row r="129" spans="2:26" x14ac:dyDescent="0.25">
      <c r="B129" s="87" t="s">
        <v>65</v>
      </c>
      <c r="C129" s="87"/>
      <c r="D129" s="93" t="str">
        <f>+$D$54</f>
        <v>Units:</v>
      </c>
      <c r="E129" s="85">
        <f>$E$54</f>
        <v>42004</v>
      </c>
      <c r="F129" s="85">
        <f>$F$54</f>
        <v>42369</v>
      </c>
      <c r="G129" s="86">
        <f>$G$54</f>
        <v>42735</v>
      </c>
      <c r="H129" s="88" t="str">
        <f>$H$54</f>
        <v>Debit</v>
      </c>
      <c r="I129" s="85" t="str">
        <f>$I$54</f>
        <v>Credit</v>
      </c>
      <c r="J129" s="86">
        <f>$J$54</f>
        <v>42735</v>
      </c>
      <c r="K129" s="85">
        <f>$K$54</f>
        <v>43100</v>
      </c>
      <c r="L129" s="85">
        <f>$L$54</f>
        <v>43465</v>
      </c>
      <c r="M129" s="85">
        <f>$M$54</f>
        <v>43830</v>
      </c>
      <c r="N129" s="85">
        <f>$N$54</f>
        <v>44196</v>
      </c>
      <c r="O129" s="85">
        <f>$O$54</f>
        <v>44561</v>
      </c>
      <c r="P129" s="2"/>
      <c r="Q129" s="104" t="s">
        <v>137</v>
      </c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spans="2:26" outlineLevel="1" x14ac:dyDescent="0.25">
      <c r="B130" s="12"/>
      <c r="C130" s="2"/>
      <c r="D130" s="2"/>
      <c r="E130" s="2"/>
      <c r="F130" s="25"/>
      <c r="G130" s="26"/>
      <c r="H130" s="60"/>
      <c r="I130" s="61"/>
      <c r="J130" s="62"/>
      <c r="K130" s="29"/>
      <c r="L130" s="29"/>
      <c r="M130" s="29"/>
      <c r="N130" s="29"/>
      <c r="O130" s="29"/>
      <c r="P130" s="2"/>
    </row>
    <row r="131" spans="2:26" outlineLevel="1" x14ac:dyDescent="0.25">
      <c r="C131" s="218" t="s">
        <v>116</v>
      </c>
      <c r="D131" s="96" t="s">
        <v>100</v>
      </c>
      <c r="E131" s="49">
        <f>+E135/9864.9</f>
        <v>2.2889233545195595E-2</v>
      </c>
      <c r="F131" s="49">
        <f>+F135/E69</f>
        <v>2.7880299761785483E-2</v>
      </c>
      <c r="G131" s="193">
        <f>+G135/F69</f>
        <v>2.7266518547975759E-2</v>
      </c>
      <c r="H131" s="54"/>
      <c r="I131" s="26"/>
      <c r="J131" s="55"/>
      <c r="K131" s="229">
        <v>2.4E-2</v>
      </c>
      <c r="L131" s="229">
        <v>2.1999999999999999E-2</v>
      </c>
      <c r="M131" s="229">
        <v>2.1000000000000001E-2</v>
      </c>
      <c r="N131" s="229">
        <v>2.1000000000000001E-2</v>
      </c>
      <c r="O131" s="229">
        <v>2.1000000000000001E-2</v>
      </c>
      <c r="P131" s="2"/>
      <c r="Q131" s="311" t="s">
        <v>157</v>
      </c>
    </row>
    <row r="132" spans="2:26" outlineLevel="1" x14ac:dyDescent="0.25">
      <c r="C132" s="230" t="s">
        <v>117</v>
      </c>
      <c r="D132" s="109" t="s">
        <v>100</v>
      </c>
      <c r="E132" s="231"/>
      <c r="F132" s="232"/>
      <c r="G132" s="233"/>
      <c r="H132" s="234"/>
      <c r="I132" s="235"/>
      <c r="J132" s="236"/>
      <c r="K132" s="237">
        <f>ROA_Improvement</f>
        <v>2E-3</v>
      </c>
      <c r="L132" s="237">
        <f>ROA_Improvement</f>
        <v>2E-3</v>
      </c>
      <c r="M132" s="237">
        <f>ROA_Improvement</f>
        <v>2E-3</v>
      </c>
      <c r="N132" s="237">
        <f>ROA_Improvement</f>
        <v>2E-3</v>
      </c>
      <c r="O132" s="237">
        <f>ROA_Improvement</f>
        <v>2E-3</v>
      </c>
      <c r="P132" s="2"/>
      <c r="Q132" s="311" t="s">
        <v>158</v>
      </c>
    </row>
    <row r="133" spans="2:26" outlineLevel="1" x14ac:dyDescent="0.25">
      <c r="C133" s="21" t="s">
        <v>119</v>
      </c>
      <c r="D133" s="96" t="s">
        <v>100</v>
      </c>
      <c r="E133" s="19"/>
      <c r="F133" s="63"/>
      <c r="G133" s="64"/>
      <c r="H133" s="60"/>
      <c r="I133" s="61"/>
      <c r="J133" s="62"/>
      <c r="K133" s="65">
        <f>SUM(K131:K132)</f>
        <v>2.6000000000000002E-2</v>
      </c>
      <c r="L133" s="65">
        <f>SUM(L131:L132)</f>
        <v>2.4E-2</v>
      </c>
      <c r="M133" s="65">
        <f>SUM(M131:M132)</f>
        <v>2.3E-2</v>
      </c>
      <c r="N133" s="65">
        <f>SUM(N131:N132)</f>
        <v>2.3E-2</v>
      </c>
      <c r="O133" s="65">
        <f>SUM(O131:O132)</f>
        <v>2.3E-2</v>
      </c>
      <c r="P133" s="2"/>
    </row>
    <row r="134" spans="2:26" outlineLevel="1" x14ac:dyDescent="0.25">
      <c r="C134" s="12"/>
      <c r="D134" s="2"/>
      <c r="E134" s="2"/>
      <c r="F134" s="25"/>
      <c r="G134" s="26"/>
      <c r="H134" s="54"/>
      <c r="I134" s="26"/>
      <c r="J134" s="55"/>
      <c r="K134" s="29"/>
      <c r="L134" s="29"/>
      <c r="M134" s="29"/>
      <c r="N134" s="29"/>
      <c r="O134" s="29"/>
      <c r="P134" s="2"/>
      <c r="Q134" s="311" t="s">
        <v>159</v>
      </c>
    </row>
    <row r="135" spans="2:26" outlineLevel="1" x14ac:dyDescent="0.25">
      <c r="C135" s="5" t="s">
        <v>19</v>
      </c>
      <c r="D135" s="204" t="s">
        <v>63</v>
      </c>
      <c r="E135" s="166">
        <v>225.8</v>
      </c>
      <c r="F135" s="166">
        <v>272.7</v>
      </c>
      <c r="G135" s="166">
        <v>315.39999999999998</v>
      </c>
      <c r="H135" s="66"/>
      <c r="I135" s="67"/>
      <c r="J135" s="68"/>
      <c r="K135" s="136">
        <f>+K133*J69</f>
        <v>391.98327792000003</v>
      </c>
      <c r="L135" s="136">
        <f>+L133*K69</f>
        <v>413.26376654208008</v>
      </c>
      <c r="M135" s="136">
        <f>+M133*L69</f>
        <v>438.91302585160935</v>
      </c>
      <c r="N135" s="136">
        <f>+N133*M69</f>
        <v>477.33760314233172</v>
      </c>
      <c r="O135" s="136">
        <f>+O133*N69</f>
        <v>519.39105876162375</v>
      </c>
      <c r="P135" s="2"/>
      <c r="Q135" s="311" t="s">
        <v>160</v>
      </c>
    </row>
    <row r="136" spans="2:26" outlineLevel="1" x14ac:dyDescent="0.25">
      <c r="C136" s="183" t="s">
        <v>110</v>
      </c>
      <c r="D136" s="96" t="s">
        <v>100</v>
      </c>
      <c r="E136" s="193">
        <f>E135/274.5-1</f>
        <v>-0.17741347905282323</v>
      </c>
      <c r="F136" s="193">
        <f>F135/E135-1</f>
        <v>0.20770593445527008</v>
      </c>
      <c r="G136" s="193">
        <f>G135/F135-1</f>
        <v>0.15658232489915647</v>
      </c>
      <c r="H136" s="17"/>
      <c r="I136" s="2"/>
      <c r="J136" s="18"/>
      <c r="K136" s="49">
        <f>K135/G135-1</f>
        <v>0.2428131830057072</v>
      </c>
      <c r="L136" s="49">
        <f>L135/K135-1</f>
        <v>5.4289276662519148E-2</v>
      </c>
      <c r="M136" s="49">
        <f>M135/L135-1</f>
        <v>6.2065105596228465E-2</v>
      </c>
      <c r="N136" s="49">
        <f>N135/M135-1</f>
        <v>8.7544855193505189E-2</v>
      </c>
      <c r="O136" s="49">
        <f>O135/N135-1</f>
        <v>8.8100026778641594E-2</v>
      </c>
      <c r="P136" s="2"/>
    </row>
    <row r="137" spans="2:26" outlineLevel="1" x14ac:dyDescent="0.25">
      <c r="C137" s="2"/>
      <c r="D137" s="2"/>
      <c r="E137" s="2"/>
      <c r="F137" s="2"/>
      <c r="G137" s="2"/>
      <c r="H137" s="17"/>
      <c r="I137" s="2"/>
      <c r="J137" s="18"/>
      <c r="K137" s="2"/>
      <c r="L137" s="2"/>
      <c r="M137" s="2"/>
      <c r="N137" s="2"/>
      <c r="O137" s="2"/>
      <c r="P137" s="2"/>
      <c r="Q137" s="311" t="s">
        <v>161</v>
      </c>
    </row>
    <row r="138" spans="2:26" outlineLevel="1" x14ac:dyDescent="0.25">
      <c r="C138" s="2" t="s">
        <v>28</v>
      </c>
      <c r="D138" s="204" t="s">
        <v>63</v>
      </c>
      <c r="E138" s="2"/>
      <c r="F138" s="29"/>
      <c r="G138" s="44"/>
      <c r="H138" s="45"/>
      <c r="I138" s="44"/>
      <c r="J138" s="28"/>
      <c r="K138" s="162">
        <f>+K126</f>
        <v>0</v>
      </c>
      <c r="L138" s="162">
        <f t="shared" ref="L138:O138" si="40">+L126</f>
        <v>173.37793622825257</v>
      </c>
      <c r="M138" s="162">
        <f t="shared" si="40"/>
        <v>297.77401454208007</v>
      </c>
      <c r="N138" s="162">
        <f t="shared" si="40"/>
        <v>328.28209171503545</v>
      </c>
      <c r="O138" s="162">
        <f t="shared" si="40"/>
        <v>362.60404820351141</v>
      </c>
      <c r="P138" s="2"/>
    </row>
    <row r="139" spans="2:26" outlineLevel="1" x14ac:dyDescent="0.25">
      <c r="C139" s="2" t="s">
        <v>25</v>
      </c>
      <c r="D139" s="96" t="s">
        <v>100</v>
      </c>
      <c r="E139" s="2"/>
      <c r="F139" s="13"/>
      <c r="G139" s="46"/>
      <c r="H139" s="47"/>
      <c r="I139" s="46"/>
      <c r="J139" s="48"/>
      <c r="K139" s="10">
        <f>+K138/K135</f>
        <v>0</v>
      </c>
      <c r="L139" s="10">
        <f t="shared" ref="L139:O139" si="41">+L138/L135</f>
        <v>0.41953335923680252</v>
      </c>
      <c r="M139" s="10">
        <f t="shared" si="41"/>
        <v>0.67843512724262023</v>
      </c>
      <c r="N139" s="10">
        <f t="shared" si="41"/>
        <v>0.6877356603668805</v>
      </c>
      <c r="O139" s="10">
        <f t="shared" si="41"/>
        <v>0.69813301959425866</v>
      </c>
      <c r="P139" s="2"/>
    </row>
    <row r="140" spans="2:26" outlineLevel="1" x14ac:dyDescent="0.25">
      <c r="C140" s="2"/>
      <c r="D140" s="2"/>
      <c r="E140" s="2"/>
      <c r="F140" s="49"/>
      <c r="G140" s="46"/>
      <c r="H140" s="47"/>
      <c r="I140" s="46"/>
      <c r="J140" s="48"/>
      <c r="K140" s="7"/>
      <c r="L140" s="10"/>
      <c r="M140" s="10"/>
      <c r="N140" s="10"/>
      <c r="O140" s="10"/>
      <c r="P140" s="2"/>
    </row>
    <row r="141" spans="2:26" outlineLevel="1" x14ac:dyDescent="0.25">
      <c r="C141" s="218" t="s">
        <v>120</v>
      </c>
      <c r="D141" s="96" t="s">
        <v>100</v>
      </c>
      <c r="E141" s="2"/>
      <c r="F141" s="49">
        <f>+F135/AVERAGE(E118,F118)</f>
        <v>0.28730969815097718</v>
      </c>
      <c r="G141" s="184">
        <f>+G135/AVERAGE(F118,G118)</f>
        <v>0.27909034598708077</v>
      </c>
      <c r="H141" s="47"/>
      <c r="I141" s="46"/>
      <c r="J141" s="48"/>
      <c r="K141" s="10">
        <f>+K135/AVERAGE(J118,K118)</f>
        <v>0.3684323597410939</v>
      </c>
      <c r="L141" s="10">
        <f t="shared" ref="L141:O141" si="42">+L135/AVERAGE(K118,L118)</f>
        <v>0.29523290194879581</v>
      </c>
      <c r="M141" s="10">
        <f t="shared" si="42"/>
        <v>0.27257718739956954</v>
      </c>
      <c r="N141" s="10">
        <f t="shared" si="42"/>
        <v>0.26888265701067421</v>
      </c>
      <c r="O141" s="10">
        <f t="shared" si="42"/>
        <v>0.26661178894748927</v>
      </c>
      <c r="P141" s="2"/>
    </row>
    <row r="142" spans="2:26" x14ac:dyDescent="0.25">
      <c r="C142" s="2"/>
      <c r="D142" s="2"/>
      <c r="E142" s="2"/>
      <c r="F142" s="49"/>
      <c r="G142" s="46"/>
      <c r="H142" s="46"/>
      <c r="I142" s="46"/>
      <c r="J142" s="46"/>
      <c r="K142" s="7"/>
      <c r="L142" s="10"/>
      <c r="M142" s="10"/>
      <c r="N142" s="10"/>
      <c r="O142" s="10"/>
      <c r="P142" s="2"/>
    </row>
    <row r="143" spans="2:26" x14ac:dyDescent="0.25">
      <c r="B143" s="81"/>
      <c r="C143" s="81"/>
      <c r="D143" s="81"/>
      <c r="E143" s="84" t="str">
        <f>+$E$53</f>
        <v>Historical</v>
      </c>
      <c r="F143" s="84"/>
      <c r="G143" s="84"/>
      <c r="H143" s="84" t="str">
        <f>+$H$53</f>
        <v>Transaction Adjustments</v>
      </c>
      <c r="I143" s="84"/>
      <c r="J143" s="84"/>
      <c r="K143" s="84" t="str">
        <f>+$K$53</f>
        <v>Projected</v>
      </c>
      <c r="L143" s="84"/>
      <c r="M143" s="84"/>
      <c r="N143" s="84"/>
      <c r="O143" s="84"/>
      <c r="P143" s="2"/>
    </row>
    <row r="144" spans="2:26" x14ac:dyDescent="0.25">
      <c r="B144" s="87" t="s">
        <v>105</v>
      </c>
      <c r="C144" s="87"/>
      <c r="D144" s="93" t="str">
        <f>+$D$54</f>
        <v>Units:</v>
      </c>
      <c r="E144" s="85">
        <f>$E$54</f>
        <v>42004</v>
      </c>
      <c r="F144" s="85">
        <f>$F$54</f>
        <v>42369</v>
      </c>
      <c r="G144" s="86">
        <f>$G$54</f>
        <v>42735</v>
      </c>
      <c r="H144" s="88" t="str">
        <f>$H$54</f>
        <v>Debit</v>
      </c>
      <c r="I144" s="85" t="str">
        <f>$I$54</f>
        <v>Credit</v>
      </c>
      <c r="J144" s="86">
        <f>$J$54</f>
        <v>42735</v>
      </c>
      <c r="K144" s="85">
        <f>$K$54</f>
        <v>43100</v>
      </c>
      <c r="L144" s="85">
        <f>$L$54</f>
        <v>43465</v>
      </c>
      <c r="M144" s="85">
        <f>$M$54</f>
        <v>43830</v>
      </c>
      <c r="N144" s="85">
        <f>$N$54</f>
        <v>44196</v>
      </c>
      <c r="O144" s="85">
        <f>$O$54</f>
        <v>44561</v>
      </c>
      <c r="P144" s="2"/>
      <c r="Q144" s="104" t="s">
        <v>137</v>
      </c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spans="2:18" outlineLevel="1" x14ac:dyDescent="0.25">
      <c r="B145" s="2"/>
      <c r="C145" s="2"/>
      <c r="D145" s="2"/>
      <c r="E145" s="2"/>
      <c r="F145" s="2"/>
      <c r="G145" s="69"/>
      <c r="H145" s="70"/>
      <c r="I145" s="69"/>
      <c r="J145" s="69"/>
      <c r="K145" s="70"/>
      <c r="L145" s="69"/>
      <c r="M145" s="69"/>
      <c r="N145" s="69"/>
      <c r="O145" s="69"/>
      <c r="P145" s="2"/>
    </row>
    <row r="146" spans="2:18" outlineLevel="1" x14ac:dyDescent="0.25">
      <c r="C146" s="6" t="s">
        <v>48</v>
      </c>
      <c r="D146" s="2"/>
      <c r="E146" s="2"/>
      <c r="F146" s="2"/>
      <c r="G146" s="2"/>
      <c r="H146" s="17"/>
      <c r="I146" s="2"/>
      <c r="J146" s="18"/>
      <c r="K146" s="2"/>
      <c r="L146" s="2"/>
      <c r="M146" s="2"/>
      <c r="N146" s="2"/>
      <c r="O146" s="2"/>
      <c r="P146" s="2"/>
      <c r="Q146" s="311" t="s">
        <v>162</v>
      </c>
    </row>
    <row r="147" spans="2:18" outlineLevel="1" x14ac:dyDescent="0.25">
      <c r="C147" s="219" t="s">
        <v>121</v>
      </c>
      <c r="D147" s="204" t="s">
        <v>63</v>
      </c>
      <c r="E147" s="2"/>
      <c r="F147" s="2"/>
      <c r="G147" s="2"/>
      <c r="H147" s="17"/>
      <c r="I147" s="71"/>
      <c r="J147" s="208">
        <f>-Equity_Purchase_Price</f>
        <v>-3132</v>
      </c>
      <c r="K147" s="211">
        <v>0</v>
      </c>
      <c r="L147" s="211">
        <v>0</v>
      </c>
      <c r="M147" s="211">
        <v>0</v>
      </c>
      <c r="N147" s="211">
        <v>0</v>
      </c>
      <c r="O147" s="216">
        <f>+O118*Exit_Multiple</f>
        <v>6109.4313645862931</v>
      </c>
      <c r="P147" s="2"/>
      <c r="Q147" s="311" t="s">
        <v>163</v>
      </c>
    </row>
    <row r="148" spans="2:18" outlineLevel="1" x14ac:dyDescent="0.25">
      <c r="C148" s="219" t="s">
        <v>122</v>
      </c>
      <c r="D148" s="206" t="s">
        <v>63</v>
      </c>
      <c r="E148" s="2"/>
      <c r="F148" s="2"/>
      <c r="G148" s="2"/>
      <c r="H148" s="17"/>
      <c r="I148" s="71"/>
      <c r="J148" s="317">
        <v>0</v>
      </c>
      <c r="K148" s="212">
        <f>+K138</f>
        <v>0</v>
      </c>
      <c r="L148" s="212">
        <f t="shared" ref="L148:O148" si="43">+L138</f>
        <v>173.37793622825257</v>
      </c>
      <c r="M148" s="212">
        <f t="shared" si="43"/>
        <v>297.77401454208007</v>
      </c>
      <c r="N148" s="212">
        <f t="shared" si="43"/>
        <v>328.28209171503545</v>
      </c>
      <c r="O148" s="212">
        <f t="shared" si="43"/>
        <v>362.60404820351141</v>
      </c>
      <c r="P148" s="2"/>
    </row>
    <row r="149" spans="2:18" outlineLevel="1" x14ac:dyDescent="0.25">
      <c r="C149" s="21" t="s">
        <v>50</v>
      </c>
      <c r="D149" s="204" t="s">
        <v>63</v>
      </c>
      <c r="E149" s="19"/>
      <c r="F149" s="19"/>
      <c r="G149" s="19"/>
      <c r="H149" s="23"/>
      <c r="I149" s="72"/>
      <c r="J149" s="213">
        <f>SUM(J147:J148)</f>
        <v>-3132</v>
      </c>
      <c r="K149" s="214">
        <f>SUM(K147:K148)</f>
        <v>0</v>
      </c>
      <c r="L149" s="214">
        <f t="shared" ref="L149:O149" si="44">SUM(L147:L148)</f>
        <v>173.37793622825257</v>
      </c>
      <c r="M149" s="214">
        <f t="shared" si="44"/>
        <v>297.77401454208007</v>
      </c>
      <c r="N149" s="214">
        <f t="shared" si="44"/>
        <v>328.28209171503545</v>
      </c>
      <c r="O149" s="214">
        <f t="shared" si="44"/>
        <v>6472.0354127898045</v>
      </c>
      <c r="P149" s="2"/>
      <c r="Q149" s="311" t="s">
        <v>164</v>
      </c>
    </row>
    <row r="150" spans="2:18" outlineLevel="1" x14ac:dyDescent="0.25">
      <c r="C150" s="2"/>
      <c r="D150" s="2"/>
      <c r="E150" s="2"/>
      <c r="F150" s="2"/>
      <c r="G150" s="2"/>
      <c r="H150" s="17"/>
      <c r="I150" s="2"/>
      <c r="J150" s="2"/>
      <c r="K150" s="17"/>
      <c r="L150" s="2"/>
      <c r="M150" s="2"/>
      <c r="N150" s="2"/>
      <c r="O150" s="2"/>
      <c r="P150" s="2"/>
    </row>
    <row r="151" spans="2:18" outlineLevel="1" x14ac:dyDescent="0.25">
      <c r="C151" s="6" t="s">
        <v>112</v>
      </c>
      <c r="D151" s="96" t="s">
        <v>133</v>
      </c>
      <c r="E151" s="2"/>
      <c r="F151" s="2"/>
      <c r="G151" s="2"/>
      <c r="H151" s="17"/>
      <c r="I151" s="2"/>
      <c r="J151" s="217">
        <f>-SUMIF(J149:O149,"&gt;0",J149:O149)/SUMIF(J149:O149,"&lt;0",J149:O149)</f>
        <v>2.3216696855923282</v>
      </c>
      <c r="K151" s="17"/>
      <c r="L151" s="2"/>
      <c r="M151" s="2"/>
      <c r="N151" s="2"/>
      <c r="O151" s="2"/>
      <c r="P151" s="2"/>
      <c r="Q151" s="311" t="s">
        <v>165</v>
      </c>
    </row>
    <row r="152" spans="2:18" outlineLevel="1" x14ac:dyDescent="0.25">
      <c r="C152" s="6" t="s">
        <v>111</v>
      </c>
      <c r="D152" s="96" t="s">
        <v>100</v>
      </c>
      <c r="E152" s="2"/>
      <c r="F152" s="2"/>
      <c r="G152" s="2"/>
      <c r="H152" s="17"/>
      <c r="I152" s="106"/>
      <c r="J152" s="106">
        <f>IRR(J149:O149)</f>
        <v>0.19343785457344853</v>
      </c>
      <c r="K152" s="107"/>
      <c r="L152" s="2"/>
      <c r="M152" s="2"/>
      <c r="N152" s="2"/>
      <c r="O152" s="2"/>
      <c r="P152" s="2"/>
    </row>
    <row r="153" spans="2:18" outlineLevel="1" x14ac:dyDescent="0.25">
      <c r="Q153" s="311" t="s">
        <v>166</v>
      </c>
    </row>
    <row r="154" spans="2:18" outlineLevel="1" x14ac:dyDescent="0.25">
      <c r="C154" s="103" t="s">
        <v>130</v>
      </c>
      <c r="D154" s="291"/>
      <c r="E154" s="291"/>
      <c r="F154" s="291"/>
      <c r="G154" s="292"/>
      <c r="L154" s="177"/>
      <c r="Q154" s="311" t="s">
        <v>167</v>
      </c>
    </row>
    <row r="155" spans="2:18" outlineLevel="1" x14ac:dyDescent="0.25">
      <c r="C155" s="219" t="s">
        <v>132</v>
      </c>
      <c r="D155" s="204" t="s">
        <v>63</v>
      </c>
      <c r="E155" s="294">
        <f>(O118-G118)*Purchase_PTBV</f>
        <v>1959.1928038219112</v>
      </c>
      <c r="F155" s="296">
        <f>+E155/E$158</f>
        <v>0.47329563002939784</v>
      </c>
    </row>
    <row r="156" spans="2:18" outlineLevel="1" x14ac:dyDescent="0.25">
      <c r="C156" s="219" t="s">
        <v>136</v>
      </c>
      <c r="D156" s="204" t="s">
        <v>63</v>
      </c>
      <c r="E156" s="318">
        <f>(Exit_Multiple-Purchase_PTBV)*O118</f>
        <v>1018.2385607643822</v>
      </c>
      <c r="F156" s="296">
        <f t="shared" ref="F156:F157" si="45">+E156/E$158</f>
        <v>0.24598286610540879</v>
      </c>
      <c r="Q156" s="311" t="s">
        <v>168</v>
      </c>
    </row>
    <row r="157" spans="2:18" outlineLevel="1" x14ac:dyDescent="0.25">
      <c r="C157" s="219" t="s">
        <v>49</v>
      </c>
      <c r="D157" s="206" t="s">
        <v>63</v>
      </c>
      <c r="E157" s="295">
        <f>+E158-SUM(E155:E156)</f>
        <v>1162.038090688879</v>
      </c>
      <c r="F157" s="296">
        <f t="shared" si="45"/>
        <v>0.28072150386519334</v>
      </c>
      <c r="H157" s="177"/>
      <c r="Q157" s="311" t="s">
        <v>169</v>
      </c>
    </row>
    <row r="158" spans="2:18" outlineLevel="1" x14ac:dyDescent="0.25">
      <c r="C158" s="21" t="s">
        <v>131</v>
      </c>
      <c r="D158" s="204" t="s">
        <v>63</v>
      </c>
      <c r="E158" s="293">
        <f>SUM(J149:O149)</f>
        <v>4139.4694552751725</v>
      </c>
      <c r="F158" s="64">
        <f>SUM(F155:F157)</f>
        <v>1</v>
      </c>
    </row>
    <row r="160" spans="2:18" x14ac:dyDescent="0.25">
      <c r="B160" s="87" t="s">
        <v>135</v>
      </c>
      <c r="C160" s="238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8"/>
      <c r="O160" s="238"/>
      <c r="P160" s="16"/>
      <c r="Q160" s="16"/>
      <c r="R160" s="16"/>
    </row>
    <row r="161" spans="3:15" outlineLevel="1" x14ac:dyDescent="0.25"/>
    <row r="162" spans="3:15" outlineLevel="1" x14ac:dyDescent="0.25">
      <c r="C162" s="239"/>
      <c r="D162" s="240"/>
      <c r="E162" s="241" t="s">
        <v>134</v>
      </c>
      <c r="F162" s="242"/>
      <c r="G162" s="242"/>
      <c r="H162" s="242"/>
      <c r="I162" s="242"/>
      <c r="J162" s="242"/>
      <c r="K162" s="242"/>
      <c r="L162" s="242"/>
      <c r="M162" s="243"/>
      <c r="N162" s="243"/>
      <c r="O162" s="243"/>
    </row>
    <row r="163" spans="3:15" outlineLevel="1" x14ac:dyDescent="0.25">
      <c r="C163" s="244"/>
      <c r="D163" s="245">
        <f>+$J$152</f>
        <v>0.19343785457344853</v>
      </c>
      <c r="E163" s="246">
        <v>-0.01</v>
      </c>
      <c r="F163" s="247">
        <f>+E163+0.2%</f>
        <v>-8.0000000000000002E-3</v>
      </c>
      <c r="G163" s="247">
        <f t="shared" ref="G163:O163" si="46">+F163+0.2%</f>
        <v>-6.0000000000000001E-3</v>
      </c>
      <c r="H163" s="247">
        <f t="shared" si="46"/>
        <v>-4.0000000000000001E-3</v>
      </c>
      <c r="I163" s="247">
        <f t="shared" si="46"/>
        <v>-2E-3</v>
      </c>
      <c r="J163" s="247">
        <f t="shared" si="46"/>
        <v>0</v>
      </c>
      <c r="K163" s="248">
        <f t="shared" si="46"/>
        <v>2E-3</v>
      </c>
      <c r="L163" s="247">
        <f t="shared" si="46"/>
        <v>4.0000000000000001E-3</v>
      </c>
      <c r="M163" s="301">
        <f t="shared" si="46"/>
        <v>6.0000000000000001E-3</v>
      </c>
      <c r="N163" s="301">
        <f t="shared" si="46"/>
        <v>8.0000000000000002E-3</v>
      </c>
      <c r="O163" s="249">
        <f t="shared" si="46"/>
        <v>0.01</v>
      </c>
    </row>
    <row r="164" spans="3:15" outlineLevel="1" x14ac:dyDescent="0.25">
      <c r="C164" s="314" t="s">
        <v>86</v>
      </c>
      <c r="D164" s="297">
        <v>3.5</v>
      </c>
      <c r="E164" s="250">
        <f t="dataTable" ref="E164:O172" dt2D="1" dtr="1" r1="E13" r2="K9" ca="1"/>
        <v>0.12255052969831381</v>
      </c>
      <c r="F164" s="251">
        <v>0.13340363898154695</v>
      </c>
      <c r="G164" s="251">
        <v>0.14411041149301718</v>
      </c>
      <c r="H164" s="251">
        <v>0.15456780742017218</v>
      </c>
      <c r="I164" s="251">
        <v>0.16478981834180551</v>
      </c>
      <c r="J164" s="251">
        <v>0.17506498818253391</v>
      </c>
      <c r="K164" s="252">
        <v>0.18519033548003172</v>
      </c>
      <c r="L164" s="251">
        <v>0.1951205448285942</v>
      </c>
      <c r="M164" s="251">
        <v>0.20486558715602055</v>
      </c>
      <c r="N164" s="251">
        <v>0.21443467130999694</v>
      </c>
      <c r="O164" s="251">
        <v>0.22387121541081001</v>
      </c>
    </row>
    <row r="165" spans="3:15" outlineLevel="1" x14ac:dyDescent="0.25">
      <c r="C165" s="315"/>
      <c r="D165" s="298">
        <f>+D164-0.25</f>
        <v>3.25</v>
      </c>
      <c r="E165" s="253">
        <v>0.12273036504826562</v>
      </c>
      <c r="F165" s="254">
        <v>0.13380364382497167</v>
      </c>
      <c r="G165" s="254">
        <v>0.14469912184536682</v>
      </c>
      <c r="H165" s="254">
        <v>0.15536369597086042</v>
      </c>
      <c r="I165" s="254">
        <v>0.16580065235935959</v>
      </c>
      <c r="J165" s="254">
        <v>0.17623744268801245</v>
      </c>
      <c r="K165" s="255">
        <v>0.18655752012832738</v>
      </c>
      <c r="L165" s="254">
        <v>0.19667858436894758</v>
      </c>
      <c r="M165" s="254">
        <v>0.20661083293414007</v>
      </c>
      <c r="N165" s="254">
        <v>0.2163636818185426</v>
      </c>
      <c r="O165" s="254">
        <v>0.22597375241731621</v>
      </c>
    </row>
    <row r="166" spans="3:15" outlineLevel="1" x14ac:dyDescent="0.25">
      <c r="C166" s="315"/>
      <c r="D166" s="298">
        <f t="shared" ref="D166:D172" si="47">+D165-0.25</f>
        <v>3</v>
      </c>
      <c r="E166" s="253">
        <v>0.12301156751940834</v>
      </c>
      <c r="F166" s="254">
        <v>0.13438444889298173</v>
      </c>
      <c r="G166" s="254">
        <v>0.14555394457238746</v>
      </c>
      <c r="H166" s="254">
        <v>0.1564612989961951</v>
      </c>
      <c r="I166" s="254">
        <v>0.16712134151195945</v>
      </c>
      <c r="J166" s="254">
        <v>0.17774756492896615</v>
      </c>
      <c r="K166" s="255">
        <v>0.18830336922122703</v>
      </c>
      <c r="L166" s="254">
        <v>0.19865517597262805</v>
      </c>
      <c r="M166" s="254">
        <v>0.2088134830589996</v>
      </c>
      <c r="N166" s="254">
        <v>0.21878798041530212</v>
      </c>
      <c r="O166" s="254">
        <v>0.2286086946578636</v>
      </c>
    </row>
    <row r="167" spans="3:15" outlineLevel="1" x14ac:dyDescent="0.25">
      <c r="C167" s="315"/>
      <c r="D167" s="298">
        <f t="shared" si="47"/>
        <v>2.75</v>
      </c>
      <c r="E167" s="253">
        <v>0.12342175117761478</v>
      </c>
      <c r="F167" s="254">
        <v>0.13516008796580481</v>
      </c>
      <c r="G167" s="254">
        <v>0.14666391884168184</v>
      </c>
      <c r="H167" s="254">
        <v>0.15789656479557679</v>
      </c>
      <c r="I167" s="254">
        <v>0.16887348407096181</v>
      </c>
      <c r="J167" s="254">
        <v>0.17972945208103019</v>
      </c>
      <c r="K167" s="255">
        <v>0.19053019822059514</v>
      </c>
      <c r="L167" s="254">
        <v>0.20116322371364048</v>
      </c>
      <c r="M167" s="254">
        <v>0.21159672661138407</v>
      </c>
      <c r="N167" s="254">
        <v>0.22184075823024396</v>
      </c>
      <c r="O167" s="254">
        <v>0.2319190234500319</v>
      </c>
    </row>
    <row r="168" spans="3:15" outlineLevel="1" x14ac:dyDescent="0.25">
      <c r="C168" s="315"/>
      <c r="D168" s="299">
        <f t="shared" si="47"/>
        <v>2.5</v>
      </c>
      <c r="E168" s="256">
        <v>0.12399948245316428</v>
      </c>
      <c r="F168" s="255">
        <v>0.13618877033870858</v>
      </c>
      <c r="G168" s="255">
        <v>0.14810508248659771</v>
      </c>
      <c r="H168" s="255">
        <v>0.15973851277447992</v>
      </c>
      <c r="I168" s="255">
        <v>0.17110535213870759</v>
      </c>
      <c r="J168" s="255">
        <v>0.18229975031819712</v>
      </c>
      <c r="K168" s="255">
        <v>0.19343785457344853</v>
      </c>
      <c r="L168" s="255">
        <v>0.20435985769309362</v>
      </c>
      <c r="M168" s="255">
        <v>0.21513191919351615</v>
      </c>
      <c r="N168" s="255">
        <v>0.22570719262473249</v>
      </c>
      <c r="O168" s="255">
        <v>0.23610343353198737</v>
      </c>
    </row>
    <row r="169" spans="3:15" outlineLevel="1" x14ac:dyDescent="0.25">
      <c r="C169" s="315"/>
      <c r="D169" s="298">
        <f t="shared" si="47"/>
        <v>2.25</v>
      </c>
      <c r="E169" s="253">
        <v>0.12480445284567776</v>
      </c>
      <c r="F169" s="254">
        <v>0.13755432871875062</v>
      </c>
      <c r="G169" s="254">
        <v>0.14998685751447205</v>
      </c>
      <c r="H169" s="254">
        <v>0.16212117158823447</v>
      </c>
      <c r="I169" s="254">
        <v>0.17397467965264846</v>
      </c>
      <c r="J169" s="254">
        <v>0.1856029909685033</v>
      </c>
      <c r="K169" s="255">
        <v>0.19718785968235597</v>
      </c>
      <c r="L169" s="254">
        <v>0.20854152089480182</v>
      </c>
      <c r="M169" s="254">
        <v>0.21967611765439221</v>
      </c>
      <c r="N169" s="254">
        <v>0.23065254989687145</v>
      </c>
      <c r="O169" s="254">
        <v>0.2414463946170391</v>
      </c>
    </row>
    <row r="170" spans="3:15" outlineLevel="1" x14ac:dyDescent="0.25">
      <c r="C170" s="315"/>
      <c r="D170" s="298">
        <f t="shared" si="47"/>
        <v>2</v>
      </c>
      <c r="E170" s="253">
        <v>0.12595192878456252</v>
      </c>
      <c r="F170" s="254">
        <v>0.1393820612487835</v>
      </c>
      <c r="G170" s="254">
        <v>0.15247263012794354</v>
      </c>
      <c r="H170" s="254">
        <v>0.16524448669305558</v>
      </c>
      <c r="I170" s="254">
        <v>0.17771657268169738</v>
      </c>
      <c r="J170" s="254">
        <v>0.18990898362346575</v>
      </c>
      <c r="K170" s="255">
        <v>0.2020619060502431</v>
      </c>
      <c r="L170" s="254">
        <v>0.21396896208605631</v>
      </c>
      <c r="M170" s="254">
        <v>0.22564327095459391</v>
      </c>
      <c r="N170" s="254">
        <v>0.23709690237901127</v>
      </c>
      <c r="O170" s="254">
        <v>0.24837353173271248</v>
      </c>
    </row>
    <row r="171" spans="3:15" outlineLevel="1" x14ac:dyDescent="0.25">
      <c r="C171" s="315"/>
      <c r="D171" s="298">
        <f t="shared" si="47"/>
        <v>1.75</v>
      </c>
      <c r="E171" s="253">
        <v>0.127548102734516</v>
      </c>
      <c r="F171" s="254">
        <v>0.14186798604608053</v>
      </c>
      <c r="G171" s="254">
        <v>0.15581769712359139</v>
      </c>
      <c r="H171" s="254">
        <v>0.16942052648309791</v>
      </c>
      <c r="I171" s="254">
        <v>0.18269758501663858</v>
      </c>
      <c r="J171" s="254">
        <v>0.19566806812294679</v>
      </c>
      <c r="K171" s="255">
        <v>0.20852978742364847</v>
      </c>
      <c r="L171" s="254">
        <v>0.22115562789771537</v>
      </c>
      <c r="M171" s="254">
        <v>0.23353001381934035</v>
      </c>
      <c r="N171" s="254">
        <v>0.24566625633281891</v>
      </c>
      <c r="O171" s="254">
        <v>0.25757660971499496</v>
      </c>
    </row>
    <row r="172" spans="3:15" outlineLevel="1" x14ac:dyDescent="0.25">
      <c r="C172" s="316"/>
      <c r="D172" s="300">
        <f t="shared" si="47"/>
        <v>1.5</v>
      </c>
      <c r="E172" s="253">
        <v>0.12981536247212566</v>
      </c>
      <c r="F172" s="254">
        <v>0.14533693405106707</v>
      </c>
      <c r="G172" s="254">
        <v>0.16044447585604216</v>
      </c>
      <c r="H172" s="254">
        <v>0.17516489993880358</v>
      </c>
      <c r="I172" s="254">
        <v>0.18952252606974862</v>
      </c>
      <c r="J172" s="254">
        <v>0.20353940379320412</v>
      </c>
      <c r="K172" s="255">
        <v>0.21736475719344073</v>
      </c>
      <c r="L172" s="254">
        <v>0.23095238848584088</v>
      </c>
      <c r="M172" s="254">
        <v>0.24426206514807114</v>
      </c>
      <c r="N172" s="254">
        <v>0.25730891464536421</v>
      </c>
      <c r="O172" s="254">
        <v>0.27010683155893767</v>
      </c>
    </row>
    <row r="173" spans="3:15" outlineLevel="1" x14ac:dyDescent="0.25">
      <c r="C173" s="257"/>
      <c r="D173" s="257"/>
      <c r="E173" s="257"/>
      <c r="F173" s="257"/>
      <c r="G173" s="257"/>
      <c r="H173" s="257"/>
      <c r="I173" s="257"/>
      <c r="J173" s="257"/>
      <c r="K173" s="257"/>
      <c r="L173" s="257"/>
      <c r="M173" s="257"/>
    </row>
    <row r="174" spans="3:15" outlineLevel="1" x14ac:dyDescent="0.25">
      <c r="C174" s="239"/>
      <c r="D174" s="240"/>
      <c r="E174" s="241" t="s">
        <v>113</v>
      </c>
      <c r="F174" s="242"/>
      <c r="G174" s="242"/>
      <c r="H174" s="242"/>
      <c r="I174" s="242"/>
      <c r="J174" s="242"/>
      <c r="K174" s="242"/>
      <c r="L174" s="242"/>
      <c r="M174" s="243"/>
      <c r="N174" s="243"/>
      <c r="O174" s="243"/>
    </row>
    <row r="175" spans="3:15" outlineLevel="1" x14ac:dyDescent="0.25">
      <c r="C175" s="244"/>
      <c r="D175" s="245">
        <f>+$J$152</f>
        <v>0.19343785457344853</v>
      </c>
      <c r="E175" s="302">
        <v>1.5</v>
      </c>
      <c r="F175" s="303">
        <f>+E175+0.25</f>
        <v>1.75</v>
      </c>
      <c r="G175" s="303">
        <f t="shared" ref="G175:O175" si="48">+F175+0.25</f>
        <v>2</v>
      </c>
      <c r="H175" s="303">
        <f t="shared" si="48"/>
        <v>2.25</v>
      </c>
      <c r="I175" s="303">
        <f t="shared" si="48"/>
        <v>2.5</v>
      </c>
      <c r="J175" s="303">
        <f t="shared" si="48"/>
        <v>2.75</v>
      </c>
      <c r="K175" s="305">
        <f t="shared" si="48"/>
        <v>3</v>
      </c>
      <c r="L175" s="303">
        <f t="shared" si="48"/>
        <v>3.25</v>
      </c>
      <c r="M175" s="303">
        <f t="shared" si="48"/>
        <v>3.5</v>
      </c>
      <c r="N175" s="303">
        <f t="shared" si="48"/>
        <v>3.75</v>
      </c>
      <c r="O175" s="304">
        <f t="shared" si="48"/>
        <v>4</v>
      </c>
    </row>
    <row r="176" spans="3:15" outlineLevel="1" x14ac:dyDescent="0.25">
      <c r="C176" s="314" t="str">
        <f>+$C$164</f>
        <v>Purchase P / TBV Multiple:</v>
      </c>
      <c r="D176" s="298">
        <f>+D164</f>
        <v>3.5</v>
      </c>
      <c r="E176" s="250">
        <f t="dataTable" ref="E176:O184" dt2D="1" dtr="1" r1="K21" r2="K9" ca="1"/>
        <v>-1.6008728523723148E-3</v>
      </c>
      <c r="F176" s="251">
        <v>2.2664467744738737E-2</v>
      </c>
      <c r="G176" s="251">
        <v>4.4727737189860228E-2</v>
      </c>
      <c r="H176" s="251">
        <v>6.4996794110494749E-2</v>
      </c>
      <c r="I176" s="251">
        <v>8.3772428836214274E-2</v>
      </c>
      <c r="J176" s="251">
        <v>0.10128334415765372</v>
      </c>
      <c r="K176" s="252">
        <v>0.11770781492973281</v>
      </c>
      <c r="L176" s="251">
        <v>0.1331877144896696</v>
      </c>
      <c r="M176" s="251">
        <v>0.14783794047331567</v>
      </c>
      <c r="N176" s="251">
        <v>0.16175294914559002</v>
      </c>
      <c r="O176" s="251">
        <v>0.17501140698146322</v>
      </c>
    </row>
    <row r="177" spans="3:15" outlineLevel="1" x14ac:dyDescent="0.25">
      <c r="C177" s="315"/>
      <c r="D177" s="298">
        <f t="shared" ref="D177:D184" si="49">+D165</f>
        <v>3.25</v>
      </c>
      <c r="E177" s="253">
        <v>1.2724546454161878E-2</v>
      </c>
      <c r="F177" s="254">
        <v>3.7342185171668651E-2</v>
      </c>
      <c r="G177" s="254">
        <v>5.9723736089744905E-2</v>
      </c>
      <c r="H177" s="254">
        <v>8.0283735659695044E-2</v>
      </c>
      <c r="I177" s="254">
        <v>9.9327805378869316E-2</v>
      </c>
      <c r="J177" s="254">
        <v>0.11708826449428766</v>
      </c>
      <c r="K177" s="255">
        <v>0.13374617073613826</v>
      </c>
      <c r="L177" s="254">
        <v>0.14944558816169184</v>
      </c>
      <c r="M177" s="254">
        <v>0.1643031722547883</v>
      </c>
      <c r="N177" s="254">
        <v>0.17841481292260486</v>
      </c>
      <c r="O177" s="254">
        <v>0.19186036239539872</v>
      </c>
    </row>
    <row r="178" spans="3:15" outlineLevel="1" x14ac:dyDescent="0.25">
      <c r="C178" s="315"/>
      <c r="D178" s="298">
        <f t="shared" si="49"/>
        <v>3</v>
      </c>
      <c r="E178" s="253">
        <v>2.8577588745799076E-2</v>
      </c>
      <c r="F178" s="254">
        <v>5.3577929613714659E-2</v>
      </c>
      <c r="G178" s="254">
        <v>7.6305622918416027E-2</v>
      </c>
      <c r="H178" s="254">
        <v>9.7182326908425098E-2</v>
      </c>
      <c r="I178" s="254">
        <v>0.1165188270717803</v>
      </c>
      <c r="J178" s="254">
        <v>0.13455131570914358</v>
      </c>
      <c r="K178" s="255">
        <v>0.15146383580638889</v>
      </c>
      <c r="L178" s="254">
        <v>0.16740280487142445</v>
      </c>
      <c r="M178" s="254">
        <v>0.18248676921106055</v>
      </c>
      <c r="N178" s="254">
        <v>0.19681316258613979</v>
      </c>
      <c r="O178" s="254">
        <v>0.2104631153987091</v>
      </c>
    </row>
    <row r="179" spans="3:15" outlineLevel="1" x14ac:dyDescent="0.25">
      <c r="C179" s="315"/>
      <c r="D179" s="298">
        <f t="shared" si="49"/>
        <v>2.75</v>
      </c>
      <c r="E179" s="253">
        <v>4.6265374815037008E-2</v>
      </c>
      <c r="F179" s="254">
        <v>7.168421789354773E-2</v>
      </c>
      <c r="G179" s="254">
        <v>9.4790903796859061E-2</v>
      </c>
      <c r="H179" s="254">
        <v>0.1160147200670123</v>
      </c>
      <c r="I179" s="254">
        <v>0.13567199848615763</v>
      </c>
      <c r="J179" s="254">
        <v>0.1540031002335287</v>
      </c>
      <c r="K179" s="255">
        <v>0.17119528761246539</v>
      </c>
      <c r="L179" s="254">
        <v>0.18739752023325051</v>
      </c>
      <c r="M179" s="254">
        <v>0.20273038974155821</v>
      </c>
      <c r="N179" s="254">
        <v>0.21729300196896428</v>
      </c>
      <c r="O179" s="254">
        <v>0.23116787326576005</v>
      </c>
    </row>
    <row r="180" spans="3:15" outlineLevel="1" x14ac:dyDescent="0.25">
      <c r="C180" s="315"/>
      <c r="D180" s="299">
        <f t="shared" si="49"/>
        <v>2.5</v>
      </c>
      <c r="E180" s="256">
        <v>6.6234129697178901E-2</v>
      </c>
      <c r="F180" s="255">
        <v>9.2117636878566111E-2</v>
      </c>
      <c r="G180" s="255">
        <v>0.11564560363773846</v>
      </c>
      <c r="H180" s="255">
        <v>0.1372556223483441</v>
      </c>
      <c r="I180" s="255">
        <v>0.15727007810167781</v>
      </c>
      <c r="J180" s="255">
        <v>0.17593389209001797</v>
      </c>
      <c r="K180" s="255">
        <v>0.19343785457344853</v>
      </c>
      <c r="L180" s="255">
        <v>0.20993371547223805</v>
      </c>
      <c r="M180" s="255">
        <v>0.22554431457877078</v>
      </c>
      <c r="N180" s="255">
        <v>0.24037059793441862</v>
      </c>
      <c r="O180" s="255">
        <v>0.25449660880468028</v>
      </c>
    </row>
    <row r="181" spans="3:15" outlineLevel="1" x14ac:dyDescent="0.25">
      <c r="C181" s="315"/>
      <c r="D181" s="298">
        <f t="shared" si="49"/>
        <v>2.25</v>
      </c>
      <c r="E181" s="253">
        <v>8.9002774767543924E-2</v>
      </c>
      <c r="F181" s="254">
        <v>0.11540435000821203</v>
      </c>
      <c r="G181" s="254">
        <v>0.13940269062609434</v>
      </c>
      <c r="H181" s="254">
        <v>0.16144441929715714</v>
      </c>
      <c r="I181" s="254">
        <v>0.18185852510944245</v>
      </c>
      <c r="J181" s="254">
        <v>0.2008949179052173</v>
      </c>
      <c r="K181" s="255">
        <v>0.21874825656880859</v>
      </c>
      <c r="L181" s="254">
        <v>0.23557335695739634</v>
      </c>
      <c r="M181" s="254">
        <v>0.25149553342597342</v>
      </c>
      <c r="N181" s="254">
        <v>0.26661776063995379</v>
      </c>
      <c r="O181" s="254">
        <v>0.28102576743379282</v>
      </c>
    </row>
    <row r="182" spans="3:15" outlineLevel="1" x14ac:dyDescent="0.25">
      <c r="C182" s="315"/>
      <c r="D182" s="298">
        <f t="shared" si="49"/>
        <v>2</v>
      </c>
      <c r="E182" s="253">
        <v>0.1153190421230168</v>
      </c>
      <c r="F182" s="254">
        <v>0.14230344762404168</v>
      </c>
      <c r="G182" s="254">
        <v>0.16683186251072724</v>
      </c>
      <c r="H182" s="254">
        <v>0.18936076438393146</v>
      </c>
      <c r="I182" s="254">
        <v>0.21022637901542285</v>
      </c>
      <c r="J182" s="254">
        <v>0.22968410135495199</v>
      </c>
      <c r="K182" s="255">
        <v>0.24793285614883276</v>
      </c>
      <c r="L182" s="254">
        <v>0.26513084825981248</v>
      </c>
      <c r="M182" s="254">
        <v>0.28140613317065433</v>
      </c>
      <c r="N182" s="254">
        <v>0.29686393686901646</v>
      </c>
      <c r="O182" s="254">
        <v>0.31159186187459298</v>
      </c>
    </row>
    <row r="183" spans="3:15" outlineLevel="1" x14ac:dyDescent="0.25">
      <c r="C183" s="315"/>
      <c r="D183" s="298">
        <f t="shared" si="49"/>
        <v>1.75</v>
      </c>
      <c r="E183" s="253">
        <v>0.14628695969972072</v>
      </c>
      <c r="F183" s="254">
        <v>0.17393641579313956</v>
      </c>
      <c r="G183" s="254">
        <v>0.1990708652007076</v>
      </c>
      <c r="H183" s="254">
        <v>0.22215763164421487</v>
      </c>
      <c r="I183" s="254">
        <v>0.24354094535620052</v>
      </c>
      <c r="J183" s="254">
        <v>0.26348229340809559</v>
      </c>
      <c r="K183" s="255">
        <v>0.28218535475055773</v>
      </c>
      <c r="L183" s="254">
        <v>0.29981212229718546</v>
      </c>
      <c r="M183" s="254">
        <v>0.31649372316049518</v>
      </c>
      <c r="N183" s="254">
        <v>0.33233791162472648</v>
      </c>
      <c r="O183" s="254">
        <v>0.34743439847412838</v>
      </c>
    </row>
    <row r="184" spans="3:15" outlineLevel="1" x14ac:dyDescent="0.25">
      <c r="C184" s="316"/>
      <c r="D184" s="300">
        <f t="shared" si="49"/>
        <v>1.5</v>
      </c>
      <c r="E184" s="253">
        <v>0.18358559926418039</v>
      </c>
      <c r="F184" s="254">
        <v>0.21200776713473002</v>
      </c>
      <c r="G184" s="254">
        <v>0.23784797782836464</v>
      </c>
      <c r="H184" s="254">
        <v>0.26158561160227856</v>
      </c>
      <c r="I184" s="254">
        <v>0.28357385284437497</v>
      </c>
      <c r="J184" s="254">
        <v>0.30408103858605218</v>
      </c>
      <c r="K184" s="255">
        <v>0.32331621626709128</v>
      </c>
      <c r="L184" s="254">
        <v>0.34144567170030715</v>
      </c>
      <c r="M184" s="254">
        <v>0.35860402374516309</v>
      </c>
      <c r="N184" s="254">
        <v>0.37490190852714278</v>
      </c>
      <c r="O184" s="254">
        <v>0.39043144552783704</v>
      </c>
    </row>
  </sheetData>
  <mergeCells count="2">
    <mergeCell ref="C164:C172"/>
    <mergeCell ref="C176:C184"/>
  </mergeCells>
  <dataValidations disablePrompts="1" count="1">
    <dataValidation type="whole" allowBlank="1" showInputMessage="1" showErrorMessage="1" sqref="K17">
      <formula1>0</formula1>
      <formula2>1</formula2>
    </dataValidation>
  </dataValidations>
  <pageMargins left="0.7" right="0.7" top="0.75" bottom="0.75" header="0.3" footer="0.3"/>
  <pageSetup scale="53" orientation="landscape" horizontalDpi="300" verticalDpi="300" r:id="rId1"/>
  <rowBreaks count="4" manualBreakCount="4">
    <brk id="52" max="15" man="1"/>
    <brk id="86" max="15" man="1"/>
    <brk id="127" max="15" man="1"/>
    <brk id="159" max="15" man="1"/>
  </rowBreaks>
  <ignoredErrors>
    <ignoredError sqref="J114 J115:J11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Bank-Buyout</vt:lpstr>
      <vt:lpstr>Calc_Exit_Multiple</vt:lpstr>
      <vt:lpstr>CDI_Amort_Period</vt:lpstr>
      <vt:lpstr>CDI_Writeup</vt:lpstr>
      <vt:lpstr>Company_Name</vt:lpstr>
      <vt:lpstr>Cost_of_Equity</vt:lpstr>
      <vt:lpstr>Equity_Purchase_Price</vt:lpstr>
      <vt:lpstr>Exit_Multiple</vt:lpstr>
      <vt:lpstr>Final_Year_NI_Growth</vt:lpstr>
      <vt:lpstr>Final_Year_ROE</vt:lpstr>
      <vt:lpstr>Hist_Year</vt:lpstr>
      <vt:lpstr>Intangibles_Writeup</vt:lpstr>
      <vt:lpstr>Loan_Mark_Amort_Period</vt:lpstr>
      <vt:lpstr>Loan_Marks</vt:lpstr>
      <vt:lpstr>'Bank-Buyout'!Print_Area</vt:lpstr>
      <vt:lpstr>Purchase_PTBV</vt:lpstr>
      <vt:lpstr>ROA_Improvement</vt:lpstr>
      <vt:lpstr>Targeted_CET_1</vt:lpstr>
      <vt:lpstr>Tax_Rate</vt:lpstr>
    </vt:vector>
  </TitlesOfParts>
  <Company>LENOVO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2011-09-21T18:53:35Z</cp:lastPrinted>
  <dcterms:created xsi:type="dcterms:W3CDTF">2009-06-26T05:31:17Z</dcterms:created>
  <dcterms:modified xsi:type="dcterms:W3CDTF">2017-08-08T01:12:27Z</dcterms:modified>
</cp:coreProperties>
</file>