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D:\Dropbox (BIWS)\M&amp;I\Articles\Real-Estate-Pro-Forma\"/>
    </mc:Choice>
  </mc:AlternateContent>
  <xr:revisionPtr revIDLastSave="0" documentId="13_ncr:1_{401AC116-5C1F-45EA-AEB5-59FB90434FFC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Office-Retail-Pro-Forma" sheetId="1" r:id="rId1"/>
  </sheets>
  <definedNames>
    <definedName name="Asset_Mgmt_Fee">'Office-Retail-Pro-Forma'!$E$38</definedName>
    <definedName name="CAM_Growth">'Office-Retail-Pro-Forma'!$E$16</definedName>
    <definedName name="CAM_per_SF">'Office-Retail-Pro-Forma'!$E$15</definedName>
    <definedName name="Down_Months">'Office-Retail-Pro-Forma'!$E$60</definedName>
    <definedName name="Entry_Fee_Pct">'Office-Retail-Pro-Forma'!$E$29</definedName>
    <definedName name="Entry_Price">'Office-Retail-Pro-Forma'!$E$25</definedName>
    <definedName name="Exit_Cap_Rate">'Office-Retail-Pro-Forma'!$K$24</definedName>
    <definedName name="Exit_Fee_Pct">'Office-Retail-Pro-Forma'!$K$29</definedName>
    <definedName name="Exit_Price">'Office-Retail-Pro-Forma'!$K$26</definedName>
    <definedName name="GP_Name">'Office-Retail-Pro-Forma'!$E$25</definedName>
    <definedName name="Insurance_Growth">'Office-Retail-Pro-Forma'!$E$19</definedName>
    <definedName name="Insurance_per_SF">'Office-Retail-Pro-Forma'!$E$18</definedName>
    <definedName name="IRR_Hurdle">'Office-Retail-Pro-Forma'!$E$40</definedName>
    <definedName name="Loan_Fees">'Office-Retail-Pro-Forma'!$E$30</definedName>
    <definedName name="LP_Equity">'Office-Retail-Pro-Forma'!$E$51</definedName>
    <definedName name="LP_Equity_Pct">'Office-Retail-Pro-Forma'!$E$43</definedName>
    <definedName name="Mezzanine">'Office-Retail-Pro-Forma'!$E$49</definedName>
    <definedName name="Mezzanine_Cash_Interest">'Office-Retail-Pro-Forma'!$K$33</definedName>
    <definedName name="Mezzanine_LTV">'Office-Retail-Pro-Forma'!$K$32</definedName>
    <definedName name="Mezzanine_PIK_Interest">'Office-Retail-Pro-Forma'!$K$34</definedName>
    <definedName name="Months">'Office-Retail-Pro-Forma'!$E$10</definedName>
    <definedName name="New_Free_Rent_Months">'Office-Retail-Pro-Forma'!$E$63</definedName>
    <definedName name="New_LC_Pct">'Office-Retail-Pro-Forma'!$E$65</definedName>
    <definedName name="New_Lease_Years">'Office-Retail-Pro-Forma'!$E$58</definedName>
    <definedName name="New_TIs">'Office-Retail-Pro-Forma'!$E$64</definedName>
    <definedName name="OP_Equity">'Office-Retail-Pro-Forma'!$E$50</definedName>
    <definedName name="Op_Equity_Pct">'Office-Retail-Pro-Forma'!$E$37</definedName>
    <definedName name="Op_Partner_Promote">'Office-Retail-Pro-Forma'!$E$41</definedName>
    <definedName name="Op_Partner_Split_Below_Hurdle">'Office-Retail-Pro-Forma'!$E$39</definedName>
    <definedName name="_xlnm.Print_Area" localSheetId="0">'Office-Retail-Pro-Forma'!$A$1:$M$194</definedName>
    <definedName name="Prop_Mgmt_Fees">'Office-Retail-Pro-Forma'!$E$13</definedName>
    <definedName name="Property_Name">'Office-Retail-Pro-Forma'!$E$7</definedName>
    <definedName name="RE_Taxes_Growth_Rate">'Office-Retail-Pro-Forma'!$K$8</definedName>
    <definedName name="RE_Taxes_Pct_Property_Value">'Office-Retail-Pro-Forma'!$K$7</definedName>
    <definedName name="Renewal_Free_Rent_Months">'Office-Retail-Pro-Forma'!$F$63</definedName>
    <definedName name="Renewal_LC_Pct">'Office-Retail-Pro-Forma'!$F$65</definedName>
    <definedName name="Renewal_Probability">'Office-Retail-Pro-Forma'!$E$59</definedName>
    <definedName name="Renewal_TIs">'Office-Retail-Pro-Forma'!$F$64</definedName>
    <definedName name="Rentable_SF">'Office-Retail-Pro-Forma'!$E$11</definedName>
    <definedName name="Reserve_Growth_Rate">'Office-Retail-Pro-Forma'!$K$11</definedName>
    <definedName name="Reserve_per_SF">'Office-Retail-Pro-Forma'!$K$10</definedName>
    <definedName name="Sale_Date">'Office-Retail-Pro-Forma'!$K$23</definedName>
    <definedName name="Senior_Loan">'Office-Retail-Pro-Forma'!$E$48</definedName>
    <definedName name="Senior_Loan_Amort_Period">'Office-Retail-Pro-Forma'!$E$34</definedName>
    <definedName name="Senior_Loan_Interest_Rate">'Office-Retail-Pro-Forma'!$E$33</definedName>
    <definedName name="Senior_Loan_Term">'Office-Retail-Pro-Forma'!$E$35</definedName>
    <definedName name="Senior_LTV">'Office-Retail-Pro-Forma'!$E$32</definedName>
    <definedName name="Start_Date">'Office-Retail-Pro-Forma'!$E$23</definedName>
    <definedName name="Utilities_Growth">'Office-Retail-Pro-Forma'!$K$14</definedName>
    <definedName name="Utilities_per_SF">'Office-Retail-Pro-Forma'!$K$13</definedName>
  </definedNames>
  <calcPr calcId="181029" calcMode="autoNoTable" iterate="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1" i="1" l="1"/>
  <c r="G131" i="1" s="1"/>
  <c r="H131" i="1" s="1"/>
  <c r="I131" i="1" s="1"/>
  <c r="J131" i="1" s="1"/>
  <c r="K131" i="1" s="1"/>
  <c r="L131" i="1" s="1"/>
  <c r="F130" i="1"/>
  <c r="G130" i="1" s="1"/>
  <c r="H130" i="1" s="1"/>
  <c r="I130" i="1" s="1"/>
  <c r="J130" i="1" s="1"/>
  <c r="K130" i="1" s="1"/>
  <c r="L130" i="1" s="1"/>
  <c r="K51" i="1"/>
  <c r="E111" i="1" s="1"/>
  <c r="J183" i="1" l="1"/>
  <c r="I183" i="1"/>
  <c r="H183" i="1"/>
  <c r="G183" i="1"/>
  <c r="J182" i="1"/>
  <c r="I182" i="1"/>
  <c r="H182" i="1"/>
  <c r="G182" i="1"/>
  <c r="E43" i="1"/>
  <c r="L110" i="1" l="1"/>
  <c r="L139" i="1" s="1"/>
  <c r="K110" i="1"/>
  <c r="K139" i="1" s="1"/>
  <c r="H110" i="1"/>
  <c r="H139" i="1" s="1"/>
  <c r="G110" i="1"/>
  <c r="G139" i="1" s="1"/>
  <c r="F110" i="1"/>
  <c r="F139" i="1" s="1"/>
  <c r="F124" i="1"/>
  <c r="L121" i="1"/>
  <c r="K121" i="1"/>
  <c r="H121" i="1"/>
  <c r="G121" i="1"/>
  <c r="L120" i="1"/>
  <c r="K120" i="1"/>
  <c r="H120" i="1"/>
  <c r="G120" i="1"/>
  <c r="F121" i="1"/>
  <c r="F120" i="1"/>
  <c r="F74" i="1"/>
  <c r="F87" i="1"/>
  <c r="F102" i="1"/>
  <c r="F133" i="1"/>
  <c r="F129" i="1"/>
  <c r="E25" i="1"/>
  <c r="F172" i="1" s="1"/>
  <c r="G99" i="1"/>
  <c r="H99" i="1" s="1"/>
  <c r="I99" i="1" s="1"/>
  <c r="J99" i="1" s="1"/>
  <c r="K99" i="1" s="1"/>
  <c r="L99" i="1" s="1"/>
  <c r="L102" i="1" s="1"/>
  <c r="J90" i="1"/>
  <c r="G84" i="1"/>
  <c r="H84" i="1" s="1"/>
  <c r="I84" i="1" s="1"/>
  <c r="J84" i="1" s="1"/>
  <c r="K84" i="1" s="1"/>
  <c r="L84" i="1" s="1"/>
  <c r="L87" i="1" s="1"/>
  <c r="I77" i="1"/>
  <c r="G71" i="1"/>
  <c r="G124" i="1" s="1"/>
  <c r="F119" i="1" l="1"/>
  <c r="J91" i="1"/>
  <c r="J110" i="1" s="1"/>
  <c r="J139" i="1" s="1"/>
  <c r="H87" i="1"/>
  <c r="I87" i="1"/>
  <c r="K87" i="1"/>
  <c r="G87" i="1"/>
  <c r="G74" i="1"/>
  <c r="H71" i="1"/>
  <c r="I71" i="1" s="1"/>
  <c r="J71" i="1" s="1"/>
  <c r="K71" i="1" s="1"/>
  <c r="K124" i="1" s="1"/>
  <c r="E49" i="1"/>
  <c r="F154" i="1" s="1"/>
  <c r="K50" i="1"/>
  <c r="K49" i="1"/>
  <c r="K48" i="1"/>
  <c r="E48" i="1"/>
  <c r="J87" i="1"/>
  <c r="G102" i="1"/>
  <c r="F132" i="1"/>
  <c r="F108" i="1" s="1"/>
  <c r="F140" i="1"/>
  <c r="F111" i="1" s="1"/>
  <c r="I102" i="1"/>
  <c r="J102" i="1"/>
  <c r="H102" i="1"/>
  <c r="K102" i="1"/>
  <c r="G129" i="1"/>
  <c r="G133" i="1"/>
  <c r="H133" i="1" s="1"/>
  <c r="I133" i="1" s="1"/>
  <c r="J133" i="1" s="1"/>
  <c r="K133" i="1" s="1"/>
  <c r="L133" i="1" s="1"/>
  <c r="G119" i="1" l="1"/>
  <c r="J74" i="1"/>
  <c r="J119" i="1" s="1"/>
  <c r="H74" i="1"/>
  <c r="H119" i="1" s="1"/>
  <c r="I124" i="1"/>
  <c r="I74" i="1"/>
  <c r="I119" i="1" s="1"/>
  <c r="J124" i="1"/>
  <c r="H124" i="1"/>
  <c r="K52" i="1"/>
  <c r="L71" i="1"/>
  <c r="K74" i="1"/>
  <c r="K119" i="1" s="1"/>
  <c r="I78" i="1"/>
  <c r="I110" i="1" s="1"/>
  <c r="I139" i="1" s="1"/>
  <c r="J89" i="1"/>
  <c r="J121" i="1" s="1"/>
  <c r="J88" i="1"/>
  <c r="J120" i="1" s="1"/>
  <c r="F153" i="1"/>
  <c r="G151" i="1"/>
  <c r="G154" i="1" s="1"/>
  <c r="G146" i="1"/>
  <c r="F178" i="1"/>
  <c r="F173" i="1"/>
  <c r="G132" i="1"/>
  <c r="G108" i="1" s="1"/>
  <c r="F93" i="1"/>
  <c r="F122" i="1" s="1"/>
  <c r="F123" i="1" s="1"/>
  <c r="F125" i="1" s="1"/>
  <c r="F128" i="1" s="1"/>
  <c r="F134" i="1" s="1"/>
  <c r="F136" i="1" s="1"/>
  <c r="G140" i="1"/>
  <c r="G111" i="1" s="1"/>
  <c r="H140" i="1" s="1"/>
  <c r="H129" i="1"/>
  <c r="I75" i="1" l="1"/>
  <c r="I120" i="1" s="1"/>
  <c r="I76" i="1"/>
  <c r="I121" i="1" s="1"/>
  <c r="L74" i="1"/>
  <c r="L119" i="1" s="1"/>
  <c r="L124" i="1"/>
  <c r="G93" i="1"/>
  <c r="G122" i="1" s="1"/>
  <c r="G123" i="1" s="1"/>
  <c r="G125" i="1" s="1"/>
  <c r="G128" i="1" s="1"/>
  <c r="G134" i="1" s="1"/>
  <c r="G136" i="1" s="1"/>
  <c r="E27" i="1" s="1"/>
  <c r="H132" i="1"/>
  <c r="H108" i="1" s="1"/>
  <c r="F155" i="1"/>
  <c r="E51" i="1"/>
  <c r="E50" i="1"/>
  <c r="H151" i="1"/>
  <c r="H154" i="1" s="1"/>
  <c r="H146" i="1"/>
  <c r="F137" i="1"/>
  <c r="F142" i="1"/>
  <c r="F143" i="1" s="1"/>
  <c r="I129" i="1"/>
  <c r="H111" i="1"/>
  <c r="G142" i="1" l="1"/>
  <c r="G143" i="1" s="1"/>
  <c r="G137" i="1"/>
  <c r="I151" i="1"/>
  <c r="I154" i="1" s="1"/>
  <c r="I146" i="1"/>
  <c r="F186" i="1"/>
  <c r="E52" i="1"/>
  <c r="G157" i="1"/>
  <c r="I132" i="1"/>
  <c r="I108" i="1" s="1"/>
  <c r="H93" i="1"/>
  <c r="H122" i="1" s="1"/>
  <c r="H123" i="1" s="1"/>
  <c r="H125" i="1" s="1"/>
  <c r="H128" i="1" s="1"/>
  <c r="H134" i="1" s="1"/>
  <c r="H136" i="1" s="1"/>
  <c r="J129" i="1"/>
  <c r="I140" i="1"/>
  <c r="G171" i="1" l="1"/>
  <c r="G173" i="1" s="1"/>
  <c r="F192" i="1"/>
  <c r="F187" i="1"/>
  <c r="J151" i="1"/>
  <c r="J154" i="1" s="1"/>
  <c r="J146" i="1"/>
  <c r="J132" i="1"/>
  <c r="J108" i="1" s="1"/>
  <c r="I93" i="1"/>
  <c r="I122" i="1" s="1"/>
  <c r="I123" i="1" s="1"/>
  <c r="I125" i="1" s="1"/>
  <c r="I128" i="1" s="1"/>
  <c r="I134" i="1" s="1"/>
  <c r="I136" i="1" s="1"/>
  <c r="H157" i="1"/>
  <c r="H137" i="1"/>
  <c r="H142" i="1"/>
  <c r="K129" i="1"/>
  <c r="I111" i="1"/>
  <c r="I142" i="1" l="1"/>
  <c r="I143" i="1" s="1"/>
  <c r="I137" i="1"/>
  <c r="I157" i="1"/>
  <c r="K132" i="1"/>
  <c r="K108" i="1" s="1"/>
  <c r="J93" i="1"/>
  <c r="J122" i="1" s="1"/>
  <c r="J123" i="1" s="1"/>
  <c r="J125" i="1" s="1"/>
  <c r="J128" i="1" s="1"/>
  <c r="J134" i="1" s="1"/>
  <c r="J136" i="1" s="1"/>
  <c r="K151" i="1"/>
  <c r="K154" i="1" s="1"/>
  <c r="K146" i="1"/>
  <c r="H143" i="1"/>
  <c r="H171" i="1"/>
  <c r="H173" i="1" s="1"/>
  <c r="L129" i="1"/>
  <c r="J140" i="1"/>
  <c r="I171" i="1" l="1"/>
  <c r="I173" i="1" s="1"/>
  <c r="J157" i="1"/>
  <c r="J137" i="1"/>
  <c r="L132" i="1"/>
  <c r="L93" i="1" s="1"/>
  <c r="K93" i="1"/>
  <c r="K122" i="1" s="1"/>
  <c r="K123" i="1" s="1"/>
  <c r="K125" i="1" s="1"/>
  <c r="K128" i="1" s="1"/>
  <c r="K134" i="1" s="1"/>
  <c r="K136" i="1" s="1"/>
  <c r="J142" i="1"/>
  <c r="J143" i="1" s="1"/>
  <c r="J111" i="1"/>
  <c r="L108" i="1" l="1"/>
  <c r="L122" i="1" s="1"/>
  <c r="L123" i="1" s="1"/>
  <c r="L125" i="1" s="1"/>
  <c r="L128" i="1" s="1"/>
  <c r="L134" i="1" s="1"/>
  <c r="L136" i="1" s="1"/>
  <c r="K26" i="1" s="1"/>
  <c r="K157" i="1"/>
  <c r="K137" i="1"/>
  <c r="J171" i="1"/>
  <c r="J173" i="1" s="1"/>
  <c r="K140" i="1"/>
  <c r="K142" i="1" s="1"/>
  <c r="L137" i="1" l="1"/>
  <c r="K27" i="1"/>
  <c r="K169" i="1"/>
  <c r="K182" i="1" s="1"/>
  <c r="K170" i="1"/>
  <c r="K183" i="1" s="1"/>
  <c r="K143" i="1"/>
  <c r="K171" i="1"/>
  <c r="K111" i="1"/>
  <c r="K173" i="1" l="1"/>
  <c r="F175" i="1" s="1"/>
  <c r="F177" i="1"/>
  <c r="F179" i="1" s="1"/>
  <c r="L140" i="1"/>
  <c r="L142" i="1" s="1"/>
  <c r="L143" i="1" s="1"/>
  <c r="L111" i="1" l="1"/>
  <c r="B2" i="1" l="1"/>
  <c r="J21" i="1" l="1"/>
  <c r="D166" i="1" l="1"/>
  <c r="G165" i="1"/>
  <c r="F165" i="1"/>
  <c r="L115" i="1"/>
  <c r="L116" i="1"/>
  <c r="D116" i="1"/>
  <c r="G115" i="1"/>
  <c r="F115" i="1"/>
  <c r="G48" i="1"/>
  <c r="F55" i="1"/>
  <c r="D55" i="1"/>
  <c r="D21" i="1"/>
  <c r="J5" i="1"/>
  <c r="F116" i="1" l="1"/>
  <c r="F113" i="1" s="1"/>
  <c r="G55" i="1"/>
  <c r="F166" i="1"/>
  <c r="H55" i="1" l="1"/>
  <c r="G166" i="1"/>
  <c r="G116" i="1"/>
  <c r="G113" i="1" s="1"/>
  <c r="G145" i="1" l="1"/>
  <c r="G147" i="1"/>
  <c r="G153" i="1" s="1"/>
  <c r="H166" i="1"/>
  <c r="I55" i="1"/>
  <c r="H116" i="1"/>
  <c r="H113" i="1" s="1"/>
  <c r="H147" i="1" l="1"/>
  <c r="H153" i="1" s="1"/>
  <c r="H145" i="1"/>
  <c r="G155" i="1"/>
  <c r="G159" i="1"/>
  <c r="G162" i="1"/>
  <c r="G160" i="1"/>
  <c r="G163" i="1"/>
  <c r="G149" i="1"/>
  <c r="G184" i="1" s="1"/>
  <c r="I166" i="1"/>
  <c r="J55" i="1"/>
  <c r="I116" i="1"/>
  <c r="I113" i="1" s="1"/>
  <c r="I145" i="1" l="1"/>
  <c r="I147" i="1"/>
  <c r="I153" i="1" s="1"/>
  <c r="H155" i="1"/>
  <c r="H162" i="1"/>
  <c r="H159" i="1"/>
  <c r="H160" i="1"/>
  <c r="H149" i="1"/>
  <c r="H184" i="1" s="1"/>
  <c r="H163" i="1"/>
  <c r="G187" i="1"/>
  <c r="K55" i="1"/>
  <c r="J166" i="1"/>
  <c r="J116" i="1"/>
  <c r="J113" i="1" s="1"/>
  <c r="I155" i="1" l="1"/>
  <c r="H187" i="1"/>
  <c r="J147" i="1"/>
  <c r="J153" i="1" s="1"/>
  <c r="J145" i="1"/>
  <c r="I163" i="1"/>
  <c r="I160" i="1"/>
  <c r="I159" i="1"/>
  <c r="I149" i="1"/>
  <c r="I184" i="1" s="1"/>
  <c r="I162" i="1"/>
  <c r="K23" i="1"/>
  <c r="K166" i="1"/>
  <c r="K116" i="1"/>
  <c r="J155" i="1" l="1"/>
  <c r="J159" i="1"/>
  <c r="J162" i="1"/>
  <c r="J163" i="1"/>
  <c r="J149" i="1"/>
  <c r="J184" i="1" s="1"/>
  <c r="J160" i="1"/>
  <c r="I187" i="1"/>
  <c r="K113" i="1"/>
  <c r="L113" i="1"/>
  <c r="J187" i="1" l="1"/>
  <c r="K145" i="1"/>
  <c r="K147" i="1"/>
  <c r="K153" i="1" s="1"/>
  <c r="K155" i="1" s="1"/>
  <c r="K185" i="1" s="1"/>
  <c r="K162" i="1" l="1"/>
  <c r="K159" i="1"/>
  <c r="K149" i="1"/>
  <c r="K184" i="1" s="1"/>
  <c r="K163" i="1"/>
  <c r="K160" i="1"/>
  <c r="K187" i="1" l="1"/>
  <c r="F189" i="1" s="1"/>
  <c r="F191" i="1"/>
  <c r="F19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BIWS</author>
  </authors>
  <commentList>
    <comment ref="K3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Interest-only loan - no principal repayments.</t>
        </r>
      </text>
    </comment>
    <comment ref="F9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N lease, so tenant is responsible for proportional share of property taxes.</t>
        </r>
      </text>
    </comment>
    <comment ref="J9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Need to reduce this one slightly to account for the 30% non-renewal possibility and 6 months of downtime.</t>
        </r>
      </text>
    </comment>
    <comment ref="F10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NNN lease, so tenant owes OpEx + Property Taxes (OpEx includes Insurance, CAM, and Common Area Utilities).</t>
        </r>
      </text>
    </comment>
  </commentList>
</comments>
</file>

<file path=xl/sharedStrings.xml><?xml version="1.0" encoding="utf-8"?>
<sst xmlns="http://schemas.openxmlformats.org/spreadsheetml/2006/main" count="298" uniqueCount="153">
  <si>
    <t>Operating Assumptions:</t>
  </si>
  <si>
    <t>Units:</t>
  </si>
  <si>
    <t>Location:</t>
  </si>
  <si>
    <t>Date</t>
  </si>
  <si>
    <t>#</t>
  </si>
  <si>
    <t>Months in Year:</t>
  </si>
  <si>
    <t>%</t>
  </si>
  <si>
    <t>Real Estate Taxes Annual Growth Rate:</t>
  </si>
  <si>
    <t>sq. ft.</t>
  </si>
  <si>
    <t>Acquisition and Exit Assumptions:</t>
  </si>
  <si>
    <t>Acquisition Date:</t>
  </si>
  <si>
    <t>Acquisition Price:</t>
  </si>
  <si>
    <t>$</t>
  </si>
  <si>
    <t>Acquisition Costs (% Gross Acquisition Price):</t>
  </si>
  <si>
    <t># Years</t>
  </si>
  <si>
    <t>Exit Date:</t>
  </si>
  <si>
    <t>Exit Price:</t>
  </si>
  <si>
    <t>Selling Costs (% Gross Sale Price):</t>
  </si>
  <si>
    <t>Historical:</t>
  </si>
  <si>
    <t>Projected:</t>
  </si>
  <si>
    <t>Sources of Funds:</t>
  </si>
  <si>
    <t>Uses of 
Funds:</t>
  </si>
  <si>
    <t>Senior Debt:</t>
  </si>
  <si>
    <t>Total Sources:</t>
  </si>
  <si>
    <t>Property Pro-Forma:</t>
  </si>
  <si>
    <t>Revenue:</t>
  </si>
  <si>
    <t>Effective Gross Income (EGI):</t>
  </si>
  <si>
    <t>Expenses:</t>
  </si>
  <si>
    <t>Total Expenses:</t>
  </si>
  <si>
    <t>Net Operating Income (NOI):</t>
  </si>
  <si>
    <t>NOI Margin:</t>
  </si>
  <si>
    <t>Adjusted Net Operating Income:</t>
  </si>
  <si>
    <t>Cash Flow to Equity Investors:</t>
  </si>
  <si>
    <t>x</t>
  </si>
  <si>
    <t>Name</t>
  </si>
  <si>
    <t>Total Uses:</t>
  </si>
  <si>
    <t>Stabilized</t>
  </si>
  <si>
    <t>Year:</t>
  </si>
  <si>
    <t>IRR Calculations:</t>
  </si>
  <si>
    <t>Invested Equity:</t>
  </si>
  <si>
    <t>Cash-on-Cash Multiple:</t>
  </si>
  <si>
    <t>Acquisition Sources and Uses of Funds:</t>
  </si>
  <si>
    <t>$ / sq. ft.</t>
  </si>
  <si>
    <t>Exit Cap Rate:</t>
  </si>
  <si>
    <t>Adjusted NOI Margin:</t>
  </si>
  <si>
    <t>Year</t>
  </si>
  <si>
    <t>Debt Service Coverage Ratio (DSCR) - NOI:</t>
  </si>
  <si>
    <t>Interest Coverage Ratio - NOI:</t>
  </si>
  <si>
    <t>Interest Coverage Ratio - Adjusted NOI:</t>
  </si>
  <si>
    <t>Debt Service Coverage Ratio (DSCR) - Adjusted NOI:</t>
  </si>
  <si>
    <t>Project Cash Flows (Unleveraged IRR):</t>
  </si>
  <si>
    <t>Unleveraged Internal Rate of Return (IRR):</t>
  </si>
  <si>
    <t>Leveraged Internal Rate of Return (IRR):</t>
  </si>
  <si>
    <t>Total Project Cash Flows (Unleveraged IRR):</t>
  </si>
  <si>
    <t>Cash Flow to Equity Investors (Leveraged IRR):</t>
  </si>
  <si>
    <t>Total Cash Flows to Equity (Leveraged IRR):</t>
  </si>
  <si>
    <t>Total Returns:</t>
  </si>
  <si>
    <t>Total Returns to Equity:</t>
  </si>
  <si>
    <t>($ USD in $ as Stated, Unless Otherwise Noted)</t>
  </si>
  <si>
    <t>Total Initial Investment:</t>
  </si>
  <si>
    <t>Rentable Square Feet (RSF):</t>
  </si>
  <si>
    <t>(-) Real Estate &amp; Property Taxes:</t>
  </si>
  <si>
    <t>(+) Base Rental Income:</t>
  </si>
  <si>
    <t>(+) Expense Reimbursements:</t>
  </si>
  <si>
    <t>Potential Gross Revenue:</t>
  </si>
  <si>
    <t>(-) Property Management Fees:</t>
  </si>
  <si>
    <t>$ / sq. ft. / Yr</t>
  </si>
  <si>
    <t>(-) CapEx, TI, and LC Reserves:</t>
  </si>
  <si>
    <t>(+) Capital Costs Paid from Reserves:</t>
  </si>
  <si>
    <t>(-) CapEx, TIs, and LCs:</t>
  </si>
  <si>
    <t>(+) Adjusted NOI (Cash Flows to All Investors):</t>
  </si>
  <si>
    <t>(+) Cash Flows to Equity Investors:</t>
  </si>
  <si>
    <t>(-) Initial Equity Investment:</t>
  </si>
  <si>
    <t>(-) Debt Principal Repayment Upon Exit:</t>
  </si>
  <si>
    <t>Debt Yield:</t>
  </si>
  <si>
    <t>(-) General Vacancy:</t>
  </si>
  <si>
    <t>Real Estate Taxes % Property Value:</t>
  </si>
  <si>
    <t>Property Management Fees % EGI:</t>
  </si>
  <si>
    <t>(-) Absorption &amp; Turnover Vacancy:</t>
  </si>
  <si>
    <t>Replacement Reserve Amount:</t>
  </si>
  <si>
    <t>(-) Concessions &amp; Free Rent:</t>
  </si>
  <si>
    <t>Replacement Reserve Annual Growth Rate:</t>
  </si>
  <si>
    <t xml:space="preserve">Numerical Year: </t>
  </si>
  <si>
    <t>Annual Capital Costs:</t>
  </si>
  <si>
    <t>Acquisition Costs:</t>
  </si>
  <si>
    <t>Loan Issuance Fees:</t>
  </si>
  <si>
    <t>(+) Proceeds from Sale of Property:</t>
  </si>
  <si>
    <t>(-) Selling Costs:</t>
  </si>
  <si>
    <t>(-) Property Acquisition Price:</t>
  </si>
  <si>
    <t>New York, NY</t>
  </si>
  <si>
    <t>1201 Broadway</t>
  </si>
  <si>
    <t>Senior Loan Loan-to-Value (LTV) Ratio:</t>
  </si>
  <si>
    <t>Senior Loan Interest Rate:</t>
  </si>
  <si>
    <t>Senior Loan Amortization Period:</t>
  </si>
  <si>
    <t>Senior Loan Maturity:</t>
  </si>
  <si>
    <t>Loan Issuance Fees (% Total Debt):</t>
  </si>
  <si>
    <t>Mezzanine Loan-to-Value (LTV) Ratio:</t>
  </si>
  <si>
    <t>Mezzanine Amortization Period:</t>
  </si>
  <si>
    <t>Mezzanine Maturity:</t>
  </si>
  <si>
    <t>Mezzanine Cash Interest Rate:</t>
  </si>
  <si>
    <t>Mezzanine PIK Interest Rate:</t>
  </si>
  <si>
    <t>N/A</t>
  </si>
  <si>
    <t>Mezzanine:</t>
  </si>
  <si>
    <t>Operating Partner - Equity:</t>
  </si>
  <si>
    <t>Limited Partners - Equity:</t>
  </si>
  <si>
    <t>Office Tenant #1 - Full Service (FS) Lease:</t>
  </si>
  <si>
    <t>Office Tenant #2 - Single Net (N) Lease:</t>
  </si>
  <si>
    <t>Rentable Square Feet Occupied:</t>
  </si>
  <si>
    <t>Baseline Rent per Square Foot:</t>
  </si>
  <si>
    <t>Rental Growth Rate:</t>
  </si>
  <si>
    <t>Lease Expiration Date:</t>
  </si>
  <si>
    <t>Renewal Probability:</t>
  </si>
  <si>
    <t>New Lease Term (Years):</t>
  </si>
  <si>
    <t>(-) Tenant Improvements (TIs):</t>
  </si>
  <si>
    <t>(-) Leasing Commissions (LCs):</t>
  </si>
  <si>
    <t># Months of Free Rent:</t>
  </si>
  <si>
    <t># Months of Downtime for Non-Renewal:</t>
  </si>
  <si>
    <t>Tenant Improvements (TIs) per RSF:</t>
  </si>
  <si>
    <t>Leasing Commissions (LCs) % Total Lease Value:</t>
  </si>
  <si>
    <t>Free Rent and Capital Costs:</t>
  </si>
  <si>
    <t>New:</t>
  </si>
  <si>
    <t>Renewal:</t>
  </si>
  <si>
    <t>Property-Wide Operating Assumptions:</t>
  </si>
  <si>
    <t>Rent Roll &amp; Operating Assumptions:</t>
  </si>
  <si>
    <t>Implied Going-In Cap Rate:</t>
  </si>
  <si>
    <t>(-) Cash Interest Expense on Senior Debt:</t>
  </si>
  <si>
    <t>(-) Cash Interest Expense on Mezzanine:</t>
  </si>
  <si>
    <t>(-) Senior Debt Principal Repayment:</t>
  </si>
  <si>
    <t>Operating Partner Equity Contribution:</t>
  </si>
  <si>
    <t>Limited Partner Equity Contribution:</t>
  </si>
  <si>
    <t>PIK Interest on Mezzanine:</t>
  </si>
  <si>
    <t>Total Debt Balance:</t>
  </si>
  <si>
    <t>(+) Ending Senior Debt Balance:</t>
  </si>
  <si>
    <t>(+) Ending Mezzanine Balance:</t>
  </si>
  <si>
    <t>Property Name:</t>
  </si>
  <si>
    <t>Asset Management Fee % Initial Equity Invested:</t>
  </si>
  <si>
    <t>IRR Hurdle (Based on Levered IRR to LPs):</t>
  </si>
  <si>
    <t>Profit Split Beyond IRR Hurdle:</t>
  </si>
  <si>
    <t>Profit Split Below IRR Hurdle:</t>
  </si>
  <si>
    <t>Tenant #3 - Retailer - Triple Net (NNN) Lease:</t>
  </si>
  <si>
    <t>Replacement Reserves:</t>
  </si>
  <si>
    <t>Insurance Annual Growth Rate:</t>
  </si>
  <si>
    <t>Common Area Utilities Annual Growth Rate:</t>
  </si>
  <si>
    <t>Common Area Maintenance Annual Growth Rate:</t>
  </si>
  <si>
    <t>(-) Common Area Maintenance (CAM):</t>
  </si>
  <si>
    <t>(-) Common Area Utilities:</t>
  </si>
  <si>
    <t>(-) Insurance:</t>
  </si>
  <si>
    <t>Replacement Reserve per RSF per Year:</t>
  </si>
  <si>
    <t>Common Area Utilities per RSF per Year:</t>
  </si>
  <si>
    <t>Common Area Maintenance (CAM) per RSF per Year:</t>
  </si>
  <si>
    <t>Insurance per RSF per Year:</t>
  </si>
  <si>
    <t>Acquisition Price per Rentable Square Foot:</t>
  </si>
  <si>
    <t>Exit Price per RSF: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</si>
</sst>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\(#,##0\);\-_);@_)"/>
    <numFmt numFmtId="165" formatCode="yyyy\-mm\-dd"/>
    <numFmt numFmtId="166" formatCode="0.00%_);\(0.00%\);\-_);@_)"/>
    <numFmt numFmtId="167" formatCode="0.0%_);\(0.0%\);\-_);@_)"/>
    <numFmt numFmtId="168" formatCode="#,##0\ &quot;sq. ft.&quot;"/>
    <numFmt numFmtId="169" formatCode="&quot;FY&quot;yy"/>
    <numFmt numFmtId="170" formatCode="0.00\ \x_);\(0.00\ \x\);\-_);@_)"/>
    <numFmt numFmtId="171" formatCode="0.0%"/>
    <numFmt numFmtId="172" formatCode="0.0\ \x"/>
  </numFmts>
  <fonts count="23" x14ac:knownFonts="1"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i/>
      <sz val="12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rgb="FF0000FF"/>
      <name val="Calibri"/>
      <family val="2"/>
    </font>
    <font>
      <sz val="12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/>
      <top style="thin">
        <color rgb="FFB2B2B2"/>
      </top>
      <bottom/>
      <diagonal/>
    </border>
  </borders>
  <cellStyleXfs count="2">
    <xf numFmtId="0" fontId="0" fillId="0" borderId="0"/>
    <xf numFmtId="0" fontId="4" fillId="0" borderId="0"/>
  </cellStyleXfs>
  <cellXfs count="119">
    <xf numFmtId="0" fontId="0" fillId="0" borderId="0" xfId="0"/>
    <xf numFmtId="0" fontId="3" fillId="0" borderId="0" xfId="0" applyNumberFormat="1" applyFont="1" applyBorder="1"/>
    <xf numFmtId="0" fontId="6" fillId="0" borderId="0" xfId="0" applyNumberFormat="1" applyFont="1" applyBorder="1"/>
    <xf numFmtId="0" fontId="7" fillId="0" borderId="0" xfId="0" applyFont="1" applyBorder="1"/>
    <xf numFmtId="0" fontId="8" fillId="0" borderId="0" xfId="0" applyNumberFormat="1" applyFont="1" applyBorder="1" applyAlignment="1">
      <alignment horizontal="left"/>
    </xf>
    <xf numFmtId="0" fontId="7" fillId="0" borderId="0" xfId="0" applyNumberFormat="1" applyFont="1" applyBorder="1"/>
    <xf numFmtId="0" fontId="7" fillId="0" borderId="0" xfId="0" applyFont="1"/>
    <xf numFmtId="0" fontId="5" fillId="2" borderId="2" xfId="0" applyNumberFormat="1" applyFont="1" applyFill="1" applyBorder="1" applyAlignment="1">
      <alignment horizontal="left"/>
    </xf>
    <xf numFmtId="0" fontId="9" fillId="2" borderId="2" xfId="0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0" fillId="3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Border="1" applyAlignment="1">
      <alignment horizontal="left" indent="1"/>
    </xf>
    <xf numFmtId="44" fontId="10" fillId="3" borderId="1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Border="1"/>
    <xf numFmtId="165" fontId="10" fillId="3" borderId="1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Border="1" applyAlignment="1">
      <alignment horizontal="left"/>
    </xf>
    <xf numFmtId="166" fontId="10" fillId="3" borderId="1" xfId="0" applyNumberFormat="1" applyFont="1" applyFill="1" applyBorder="1" applyAlignment="1" applyProtection="1">
      <alignment horizontal="center"/>
      <protection locked="0"/>
    </xf>
    <xf numFmtId="164" fontId="10" fillId="3" borderId="1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Border="1"/>
    <xf numFmtId="167" fontId="10" fillId="3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>
      <alignment horizontal="center"/>
    </xf>
    <xf numFmtId="168" fontId="10" fillId="3" borderId="1" xfId="0" applyNumberFormat="1" applyFont="1" applyFill="1" applyBorder="1" applyProtection="1">
      <protection locked="0"/>
    </xf>
    <xf numFmtId="0" fontId="7" fillId="0" borderId="0" xfId="0" applyFont="1" applyBorder="1" applyAlignment="1">
      <alignment horizontal="left"/>
    </xf>
    <xf numFmtId="0" fontId="11" fillId="0" borderId="0" xfId="0" applyNumberFormat="1" applyFont="1" applyBorder="1" applyAlignment="1">
      <alignment horizontal="right"/>
    </xf>
    <xf numFmtId="0" fontId="8" fillId="0" borderId="0" xfId="0" quotePrefix="1" applyNumberFormat="1" applyFont="1" applyBorder="1" applyAlignment="1">
      <alignment horizontal="center"/>
    </xf>
    <xf numFmtId="42" fontId="11" fillId="0" borderId="0" xfId="0" applyNumberFormat="1" applyFont="1" applyFill="1" applyBorder="1" applyProtection="1">
      <protection locked="0"/>
    </xf>
    <xf numFmtId="0" fontId="7" fillId="0" borderId="0" xfId="0" applyNumberFormat="1" applyFont="1" applyFill="1" applyBorder="1"/>
    <xf numFmtId="44" fontId="11" fillId="0" borderId="0" xfId="0" applyNumberFormat="1" applyFont="1" applyFill="1" applyBorder="1" applyProtection="1">
      <protection locked="0"/>
    </xf>
    <xf numFmtId="0" fontId="6" fillId="5" borderId="2" xfId="0" applyNumberFormat="1" applyFont="1" applyFill="1" applyBorder="1" applyAlignment="1">
      <alignment horizontal="centerContinuous"/>
    </xf>
    <xf numFmtId="166" fontId="10" fillId="3" borderId="12" xfId="0" applyNumberFormat="1" applyFont="1" applyFill="1" applyBorder="1" applyAlignment="1" applyProtection="1">
      <alignment horizontal="center"/>
      <protection locked="0"/>
    </xf>
    <xf numFmtId="0" fontId="8" fillId="0" borderId="0" xfId="0" quotePrefix="1" applyNumberFormat="1" applyFont="1" applyBorder="1" applyAlignment="1">
      <alignment horizontal="left"/>
    </xf>
    <xf numFmtId="0" fontId="9" fillId="2" borderId="2" xfId="0" applyNumberFormat="1" applyFont="1" applyFill="1" applyBorder="1" applyAlignment="1">
      <alignment horizontal="left"/>
    </xf>
    <xf numFmtId="164" fontId="7" fillId="0" borderId="0" xfId="0" applyNumberFormat="1" applyFont="1" applyBorder="1" applyAlignment="1">
      <alignment horizontal="left" indent="1"/>
    </xf>
    <xf numFmtId="42" fontId="7" fillId="0" borderId="0" xfId="0" applyNumberFormat="1" applyFont="1" applyBorder="1"/>
    <xf numFmtId="9" fontId="7" fillId="0" borderId="0" xfId="0" applyNumberFormat="1" applyFont="1" applyBorder="1"/>
    <xf numFmtId="164" fontId="7" fillId="0" borderId="0" xfId="0" applyNumberFormat="1" applyFont="1" applyBorder="1"/>
    <xf numFmtId="41" fontId="7" fillId="0" borderId="0" xfId="0" applyNumberFormat="1" applyFont="1" applyBorder="1"/>
    <xf numFmtId="164" fontId="6" fillId="0" borderId="7" xfId="0" applyNumberFormat="1" applyFont="1" applyBorder="1"/>
    <xf numFmtId="42" fontId="6" fillId="0" borderId="7" xfId="0" applyNumberFormat="1" applyFont="1" applyBorder="1"/>
    <xf numFmtId="0" fontId="5" fillId="2" borderId="0" xfId="0" applyNumberFormat="1" applyFont="1" applyFill="1" applyBorder="1" applyAlignment="1">
      <alignment horizontal="left"/>
    </xf>
    <xf numFmtId="0" fontId="9" fillId="2" borderId="0" xfId="0" applyNumberFormat="1" applyFont="1" applyFill="1" applyBorder="1" applyAlignment="1">
      <alignment horizontal="left"/>
    </xf>
    <xf numFmtId="0" fontId="5" fillId="2" borderId="3" xfId="0" applyNumberFormat="1" applyFont="1" applyFill="1" applyBorder="1" applyAlignment="1">
      <alignment horizontal="center"/>
    </xf>
    <xf numFmtId="0" fontId="5" fillId="2" borderId="4" xfId="0" applyNumberFormat="1" applyFont="1" applyFill="1" applyBorder="1" applyAlignment="1">
      <alignment horizontal="centerContinuous"/>
    </xf>
    <xf numFmtId="0" fontId="5" fillId="2" borderId="5" xfId="0" applyNumberFormat="1" applyFont="1" applyFill="1" applyBorder="1" applyAlignment="1">
      <alignment horizontal="centerContinuous"/>
    </xf>
    <xf numFmtId="0" fontId="5" fillId="2" borderId="0" xfId="0" applyNumberFormat="1" applyFont="1" applyFill="1" applyBorder="1" applyAlignment="1">
      <alignment horizontal="centerContinuous"/>
    </xf>
    <xf numFmtId="169" fontId="5" fillId="2" borderId="2" xfId="0" applyNumberFormat="1" applyFont="1" applyFill="1" applyBorder="1" applyAlignment="1">
      <alignment horizontal="center"/>
    </xf>
    <xf numFmtId="169" fontId="5" fillId="2" borderId="6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indent="1"/>
    </xf>
    <xf numFmtId="0" fontId="6" fillId="0" borderId="0" xfId="0" applyFont="1" applyBorder="1"/>
    <xf numFmtId="0" fontId="1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169" fontId="5" fillId="2" borderId="0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169" fontId="5" fillId="2" borderId="8" xfId="0" applyNumberFormat="1" applyFont="1" applyFill="1" applyBorder="1" applyAlignment="1">
      <alignment horizontal="center"/>
    </xf>
    <xf numFmtId="164" fontId="7" fillId="0" borderId="7" xfId="0" applyNumberFormat="1" applyFont="1" applyBorder="1"/>
    <xf numFmtId="0" fontId="8" fillId="0" borderId="0" xfId="0" applyFont="1" applyBorder="1" applyAlignment="1">
      <alignment horizontal="left"/>
    </xf>
    <xf numFmtId="0" fontId="8" fillId="0" borderId="2" xfId="0" applyNumberFormat="1" applyFont="1" applyBorder="1" applyAlignment="1">
      <alignment horizontal="center"/>
    </xf>
    <xf numFmtId="0" fontId="6" fillId="0" borderId="7" xfId="0" applyNumberFormat="1" applyFont="1" applyBorder="1"/>
    <xf numFmtId="164" fontId="6" fillId="0" borderId="0" xfId="0" applyNumberFormat="1" applyFont="1" applyBorder="1"/>
    <xf numFmtId="0" fontId="8" fillId="0" borderId="0" xfId="0" applyNumberFormat="1" applyFont="1" applyBorder="1" applyAlignment="1">
      <alignment horizontal="left" indent="1"/>
    </xf>
    <xf numFmtId="167" fontId="8" fillId="0" borderId="0" xfId="0" applyNumberFormat="1" applyFont="1" applyBorder="1"/>
    <xf numFmtId="0" fontId="13" fillId="0" borderId="0" xfId="0" applyNumberFormat="1" applyFont="1" applyFill="1" applyBorder="1" applyAlignment="1">
      <alignment horizontal="left" indent="1"/>
    </xf>
    <xf numFmtId="164" fontId="7" fillId="0" borderId="0" xfId="0" applyNumberFormat="1" applyFont="1"/>
    <xf numFmtId="0" fontId="15" fillId="0" borderId="0" xfId="0" applyFont="1"/>
    <xf numFmtId="164" fontId="15" fillId="0" borderId="0" xfId="0" applyNumberFormat="1" applyFont="1"/>
    <xf numFmtId="0" fontId="13" fillId="0" borderId="0" xfId="0" applyNumberFormat="1" applyFont="1" applyBorder="1"/>
    <xf numFmtId="170" fontId="8" fillId="0" borderId="0" xfId="0" applyNumberFormat="1" applyFont="1" applyBorder="1"/>
    <xf numFmtId="0" fontId="15" fillId="0" borderId="0" xfId="0" applyNumberFormat="1" applyFont="1" applyBorder="1"/>
    <xf numFmtId="41" fontId="10" fillId="0" borderId="2" xfId="0" applyNumberFormat="1" applyFont="1" applyFill="1" applyBorder="1" applyProtection="1">
      <protection locked="0"/>
    </xf>
    <xf numFmtId="41" fontId="10" fillId="0" borderId="0" xfId="0" applyNumberFormat="1" applyFont="1" applyFill="1" applyBorder="1" applyProtection="1">
      <protection locked="0"/>
    </xf>
    <xf numFmtId="0" fontId="15" fillId="0" borderId="7" xfId="0" applyNumberFormat="1" applyFont="1" applyBorder="1"/>
    <xf numFmtId="0" fontId="7" fillId="0" borderId="7" xfId="0" applyNumberFormat="1" applyFont="1" applyBorder="1"/>
    <xf numFmtId="42" fontId="15" fillId="0" borderId="7" xfId="0" applyNumberFormat="1" applyFont="1" applyBorder="1"/>
    <xf numFmtId="0" fontId="15" fillId="4" borderId="9" xfId="0" applyNumberFormat="1" applyFont="1" applyFill="1" applyBorder="1" applyAlignment="1">
      <alignment horizontal="left"/>
    </xf>
    <xf numFmtId="0" fontId="14" fillId="4" borderId="10" xfId="0" applyNumberFormat="1" applyFont="1" applyFill="1" applyBorder="1" applyAlignment="1">
      <alignment horizontal="center"/>
    </xf>
    <xf numFmtId="0" fontId="15" fillId="4" borderId="10" xfId="0" applyNumberFormat="1" applyFont="1" applyFill="1" applyBorder="1"/>
    <xf numFmtId="8" fontId="7" fillId="0" borderId="0" xfId="0" applyNumberFormat="1" applyFont="1" applyBorder="1"/>
    <xf numFmtId="0" fontId="7" fillId="0" borderId="0" xfId="0" applyFont="1" applyBorder="1" applyAlignment="1">
      <alignment horizontal="left" indent="1"/>
    </xf>
    <xf numFmtId="1" fontId="10" fillId="3" borderId="12" xfId="0" applyNumberFormat="1" applyFont="1" applyFill="1" applyBorder="1" applyAlignment="1" applyProtection="1">
      <alignment horizontal="center"/>
      <protection locked="0"/>
    </xf>
    <xf numFmtId="165" fontId="10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Border="1" applyAlignment="1">
      <alignment horizontal="left"/>
    </xf>
    <xf numFmtId="0" fontId="15" fillId="0" borderId="7" xfId="0" applyNumberFormat="1" applyFont="1" applyBorder="1" applyAlignment="1">
      <alignment horizontal="left"/>
    </xf>
    <xf numFmtId="0" fontId="8" fillId="0" borderId="7" xfId="0" applyNumberFormat="1" applyFont="1" applyBorder="1" applyAlignment="1">
      <alignment horizontal="center"/>
    </xf>
    <xf numFmtId="167" fontId="10" fillId="0" borderId="0" xfId="0" applyNumberFormat="1" applyFont="1" applyFill="1" applyBorder="1" applyAlignment="1" applyProtection="1">
      <alignment horizontal="center"/>
      <protection locked="0"/>
    </xf>
    <xf numFmtId="43" fontId="10" fillId="3" borderId="1" xfId="0" applyNumberFormat="1" applyFont="1" applyFill="1" applyBorder="1" applyAlignment="1" applyProtection="1">
      <alignment horizontal="center"/>
      <protection locked="0"/>
    </xf>
    <xf numFmtId="0" fontId="10" fillId="3" borderId="1" xfId="0" applyNumberFormat="1" applyFont="1" applyFill="1" applyBorder="1" applyAlignment="1" applyProtection="1">
      <alignment horizontal="centerContinuous"/>
      <protection locked="0"/>
    </xf>
    <xf numFmtId="164" fontId="16" fillId="0" borderId="0" xfId="0" applyNumberFormat="1" applyFont="1" applyBorder="1"/>
    <xf numFmtId="41" fontId="16" fillId="0" borderId="0" xfId="0" applyNumberFormat="1" applyFont="1" applyBorder="1"/>
    <xf numFmtId="167" fontId="13" fillId="0" borderId="0" xfId="0" quotePrefix="1" applyNumberFormat="1" applyFont="1" applyBorder="1" applyAlignment="1"/>
    <xf numFmtId="41" fontId="17" fillId="0" borderId="0" xfId="0" applyNumberFormat="1" applyFont="1" applyBorder="1"/>
    <xf numFmtId="41" fontId="7" fillId="0" borderId="0" xfId="0" applyNumberFormat="1" applyFont="1"/>
    <xf numFmtId="41" fontId="15" fillId="0" borderId="7" xfId="0" applyNumberFormat="1" applyFont="1" applyBorder="1"/>
    <xf numFmtId="0" fontId="7" fillId="0" borderId="0" xfId="0" applyFont="1" applyAlignment="1">
      <alignment horizontal="left" indent="1"/>
    </xf>
    <xf numFmtId="168" fontId="10" fillId="3" borderId="12" xfId="0" applyNumberFormat="1" applyFont="1" applyFill="1" applyBorder="1" applyProtection="1">
      <protection locked="0"/>
    </xf>
    <xf numFmtId="0" fontId="15" fillId="5" borderId="2" xfId="0" applyNumberFormat="1" applyFont="1" applyFill="1" applyBorder="1"/>
    <xf numFmtId="0" fontId="8" fillId="5" borderId="2" xfId="0" applyNumberFormat="1" applyFont="1" applyFill="1" applyBorder="1" applyAlignment="1">
      <alignment horizontal="left"/>
    </xf>
    <xf numFmtId="0" fontId="7" fillId="5" borderId="2" xfId="0" applyNumberFormat="1" applyFont="1" applyFill="1" applyBorder="1"/>
    <xf numFmtId="0" fontId="7" fillId="5" borderId="2" xfId="0" applyFont="1" applyFill="1" applyBorder="1"/>
    <xf numFmtId="168" fontId="10" fillId="0" borderId="0" xfId="0" applyNumberFormat="1" applyFont="1" applyFill="1" applyBorder="1" applyProtection="1">
      <protection locked="0"/>
    </xf>
    <xf numFmtId="1" fontId="20" fillId="5" borderId="2" xfId="0" applyNumberFormat="1" applyFont="1" applyFill="1" applyBorder="1" applyAlignment="1" applyProtection="1">
      <alignment horizontal="center"/>
      <protection locked="0"/>
    </xf>
    <xf numFmtId="0" fontId="21" fillId="5" borderId="2" xfId="0" applyFont="1" applyFill="1" applyBorder="1" applyAlignment="1">
      <alignment horizontal="center"/>
    </xf>
    <xf numFmtId="1" fontId="20" fillId="5" borderId="2" xfId="0" applyNumberFormat="1" applyFont="1" applyFill="1" applyBorder="1" applyAlignment="1" applyProtection="1">
      <protection locked="0"/>
    </xf>
    <xf numFmtId="1" fontId="10" fillId="3" borderId="1" xfId="0" applyNumberFormat="1" applyFont="1" applyFill="1" applyBorder="1" applyAlignment="1" applyProtection="1">
      <alignment horizontal="center"/>
      <protection locked="0"/>
    </xf>
    <xf numFmtId="165" fontId="10" fillId="0" borderId="13" xfId="0" applyNumberFormat="1" applyFont="1" applyFill="1" applyBorder="1" applyAlignment="1" applyProtection="1">
      <alignment horizontal="center"/>
      <protection locked="0"/>
    </xf>
    <xf numFmtId="166" fontId="11" fillId="0" borderId="0" xfId="0" applyNumberFormat="1" applyFont="1" applyFill="1" applyBorder="1" applyAlignment="1" applyProtection="1">
      <alignment horizontal="center"/>
      <protection locked="0"/>
    </xf>
    <xf numFmtId="171" fontId="7" fillId="0" borderId="0" xfId="0" applyNumberFormat="1" applyFont="1" applyBorder="1"/>
    <xf numFmtId="0" fontId="1" fillId="0" borderId="0" xfId="0" applyNumberFormat="1" applyFont="1" applyFill="1" applyBorder="1" applyAlignment="1">
      <alignment horizontal="left" indent="1"/>
    </xf>
    <xf numFmtId="42" fontId="15" fillId="0" borderId="0" xfId="0" applyNumberFormat="1" applyFont="1" applyBorder="1"/>
    <xf numFmtId="43" fontId="10" fillId="0" borderId="0" xfId="0" applyNumberFormat="1" applyFont="1" applyFill="1" applyBorder="1" applyProtection="1">
      <protection locked="0"/>
    </xf>
    <xf numFmtId="168" fontId="7" fillId="0" borderId="0" xfId="0" applyNumberFormat="1" applyFont="1" applyBorder="1"/>
    <xf numFmtId="167" fontId="11" fillId="0" borderId="0" xfId="0" applyNumberFormat="1" applyFont="1" applyFill="1" applyBorder="1" applyAlignment="1" applyProtection="1">
      <alignment horizontal="center"/>
      <protection locked="0"/>
    </xf>
    <xf numFmtId="167" fontId="6" fillId="4" borderId="11" xfId="0" applyNumberFormat="1" applyFont="1" applyFill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22" fillId="0" borderId="0" xfId="1" applyFont="1" applyFill="1" applyBorder="1"/>
    <xf numFmtId="0" fontId="11" fillId="0" borderId="0" xfId="1" applyFont="1" applyFill="1" applyBorder="1"/>
    <xf numFmtId="0" fontId="6" fillId="0" borderId="0" xfId="0" applyFont="1" applyBorder="1" applyAlignment="1">
      <alignment horizontal="left"/>
    </xf>
    <xf numFmtId="167" fontId="10" fillId="0" borderId="13" xfId="0" applyNumberFormat="1" applyFont="1" applyFill="1" applyBorder="1" applyAlignment="1" applyProtection="1">
      <alignment horizontal="center"/>
      <protection locked="0"/>
    </xf>
    <xf numFmtId="164" fontId="17" fillId="3" borderId="1" xfId="0" applyNumberFormat="1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B2B2B2"/>
      <color rgb="FFFFFF99"/>
      <color rgb="FF0000FF"/>
      <color rgb="FFBDD7EE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B2:M195"/>
  <sheetViews>
    <sheetView showGridLines="0" tabSelected="1" topLeftCell="A114" zoomScaleNormal="100" zoomScaleSheetLayoutView="40" workbookViewId="0">
      <selection activeCell="B116" sqref="B116"/>
    </sheetView>
  </sheetViews>
  <sheetFormatPr defaultRowHeight="15.75" outlineLevelRow="1" x14ac:dyDescent="0.25"/>
  <cols>
    <col min="1" max="2" width="2.7109375" style="6" customWidth="1"/>
    <col min="3" max="3" width="50.5703125" style="6" bestFit="1" customWidth="1"/>
    <col min="4" max="4" width="16" style="6" bestFit="1" customWidth="1"/>
    <col min="5" max="5" width="15.140625" style="6" bestFit="1" customWidth="1"/>
    <col min="6" max="10" width="14.42578125" style="6" customWidth="1"/>
    <col min="11" max="11" width="15.140625" style="6" bestFit="1" customWidth="1"/>
    <col min="12" max="12" width="14.42578125" style="6" customWidth="1"/>
    <col min="13" max="13" width="2.7109375" style="6" customWidth="1"/>
    <col min="14" max="16384" width="9.140625" style="6"/>
  </cols>
  <sheetData>
    <row r="2" spans="2:12" ht="18.75" x14ac:dyDescent="0.3">
      <c r="B2" s="1" t="str">
        <f>Property_Name&amp;" - Investment Analysis Model"</f>
        <v>1201 Broadway - Investment Analysis Model</v>
      </c>
      <c r="C2" s="3"/>
      <c r="D2" s="4"/>
      <c r="E2" s="5"/>
      <c r="F2" s="5"/>
      <c r="G2" s="5"/>
      <c r="H2" s="5"/>
      <c r="I2" s="5"/>
      <c r="J2" s="5"/>
      <c r="K2" s="5"/>
    </row>
    <row r="3" spans="2:12" x14ac:dyDescent="0.25">
      <c r="B3" s="5" t="s">
        <v>58</v>
      </c>
      <c r="C3" s="3"/>
      <c r="D3" s="4"/>
      <c r="E3" s="5"/>
      <c r="F3" s="5"/>
      <c r="G3" s="5"/>
      <c r="H3" s="5"/>
      <c r="I3" s="5"/>
      <c r="J3" s="5"/>
      <c r="K3" s="5"/>
    </row>
    <row r="4" spans="2:12" x14ac:dyDescent="0.25">
      <c r="B4" s="5"/>
      <c r="C4" s="5"/>
      <c r="D4" s="4"/>
      <c r="E4" s="5"/>
      <c r="F4" s="5"/>
      <c r="G4" s="5"/>
      <c r="H4" s="5"/>
      <c r="I4" s="5"/>
      <c r="J4" s="5"/>
      <c r="K4" s="5"/>
    </row>
    <row r="5" spans="2:12" x14ac:dyDescent="0.25">
      <c r="B5" s="7" t="s">
        <v>0</v>
      </c>
      <c r="C5" s="8"/>
      <c r="D5" s="8" t="s">
        <v>1</v>
      </c>
      <c r="E5" s="7"/>
      <c r="F5" s="7"/>
      <c r="G5" s="7"/>
      <c r="H5" s="7"/>
      <c r="I5" s="7"/>
      <c r="J5" s="8" t="str">
        <f>+$D$5</f>
        <v>Units:</v>
      </c>
      <c r="K5" s="7"/>
      <c r="L5" s="7"/>
    </row>
    <row r="6" spans="2:12" outlineLevel="1" x14ac:dyDescent="0.25">
      <c r="B6" s="5"/>
      <c r="C6" s="5"/>
      <c r="D6" s="4"/>
      <c r="E6" s="5"/>
      <c r="F6" s="5"/>
      <c r="G6" s="5"/>
      <c r="H6" s="5"/>
      <c r="I6" s="5"/>
      <c r="J6" s="5"/>
      <c r="K6" s="5"/>
    </row>
    <row r="7" spans="2:12" outlineLevel="1" x14ac:dyDescent="0.25">
      <c r="B7" s="5"/>
      <c r="C7" s="5" t="s">
        <v>134</v>
      </c>
      <c r="D7" s="9" t="s">
        <v>34</v>
      </c>
      <c r="E7" s="86" t="s">
        <v>90</v>
      </c>
      <c r="F7" s="86"/>
      <c r="G7" s="11" t="s">
        <v>76</v>
      </c>
      <c r="H7" s="18"/>
      <c r="I7" s="18"/>
      <c r="J7" s="9" t="s">
        <v>6</v>
      </c>
      <c r="K7" s="16">
        <v>0.04</v>
      </c>
    </row>
    <row r="8" spans="2:12" outlineLevel="1" x14ac:dyDescent="0.25">
      <c r="B8" s="5"/>
      <c r="C8" s="5" t="s">
        <v>2</v>
      </c>
      <c r="D8" s="9" t="s">
        <v>34</v>
      </c>
      <c r="E8" s="10" t="s">
        <v>89</v>
      </c>
      <c r="F8" s="5"/>
      <c r="G8" s="11" t="s">
        <v>7</v>
      </c>
      <c r="H8" s="3"/>
      <c r="I8" s="3"/>
      <c r="J8" s="9" t="s">
        <v>6</v>
      </c>
      <c r="K8" s="19">
        <v>0.02</v>
      </c>
    </row>
    <row r="9" spans="2:12" outlineLevel="1" x14ac:dyDescent="0.25">
      <c r="B9" s="13"/>
      <c r="C9" s="5"/>
      <c r="D9" s="9"/>
      <c r="E9" s="104"/>
      <c r="F9" s="13"/>
    </row>
    <row r="10" spans="2:12" outlineLevel="1" x14ac:dyDescent="0.25">
      <c r="B10" s="13"/>
      <c r="C10" s="5" t="s">
        <v>5</v>
      </c>
      <c r="D10" s="9" t="s">
        <v>4</v>
      </c>
      <c r="E10" s="103">
        <v>12</v>
      </c>
      <c r="F10" s="13"/>
      <c r="G10" s="11" t="s">
        <v>147</v>
      </c>
      <c r="H10" s="3"/>
      <c r="I10" s="3"/>
      <c r="J10" s="9" t="s">
        <v>66</v>
      </c>
      <c r="K10" s="12">
        <v>2.5</v>
      </c>
    </row>
    <row r="11" spans="2:12" outlineLevel="1" x14ac:dyDescent="0.25">
      <c r="B11" s="13"/>
      <c r="C11" s="5" t="s">
        <v>60</v>
      </c>
      <c r="D11" s="20" t="s">
        <v>8</v>
      </c>
      <c r="E11" s="21">
        <v>25000</v>
      </c>
      <c r="F11" s="13"/>
      <c r="G11" s="11" t="s">
        <v>81</v>
      </c>
      <c r="J11" s="9" t="s">
        <v>6</v>
      </c>
      <c r="K11" s="19">
        <v>0.03</v>
      </c>
    </row>
    <row r="12" spans="2:12" outlineLevel="1" x14ac:dyDescent="0.25">
      <c r="B12" s="5"/>
      <c r="F12" s="5"/>
    </row>
    <row r="13" spans="2:12" outlineLevel="1" x14ac:dyDescent="0.25">
      <c r="B13" s="5"/>
      <c r="C13" s="5" t="s">
        <v>77</v>
      </c>
      <c r="D13" s="9" t="s">
        <v>6</v>
      </c>
      <c r="E13" s="19">
        <v>3.0000000000000006E-2</v>
      </c>
      <c r="F13" s="5"/>
      <c r="G13" s="11" t="s">
        <v>148</v>
      </c>
      <c r="J13" s="9" t="s">
        <v>66</v>
      </c>
      <c r="K13" s="12">
        <v>3</v>
      </c>
    </row>
    <row r="14" spans="2:12" outlineLevel="1" x14ac:dyDescent="0.25">
      <c r="B14" s="5"/>
      <c r="C14" s="5"/>
      <c r="D14" s="9"/>
      <c r="E14" s="117"/>
      <c r="F14" s="5"/>
      <c r="G14" s="11" t="s">
        <v>142</v>
      </c>
      <c r="J14" s="9" t="s">
        <v>6</v>
      </c>
      <c r="K14" s="19">
        <v>0.03</v>
      </c>
    </row>
    <row r="15" spans="2:12" outlineLevel="1" x14ac:dyDescent="0.25">
      <c r="B15" s="13"/>
      <c r="C15" s="81" t="s">
        <v>149</v>
      </c>
      <c r="D15" s="9" t="s">
        <v>66</v>
      </c>
      <c r="E15" s="12">
        <v>5</v>
      </c>
      <c r="F15" s="13"/>
      <c r="G15" s="11"/>
      <c r="J15" s="9"/>
      <c r="K15" s="84"/>
    </row>
    <row r="16" spans="2:12" outlineLevel="1" x14ac:dyDescent="0.25">
      <c r="B16" s="3"/>
      <c r="C16" s="81" t="s">
        <v>143</v>
      </c>
      <c r="D16" s="9" t="s">
        <v>6</v>
      </c>
      <c r="E16" s="19">
        <v>3.5000000000000003E-2</v>
      </c>
      <c r="F16" s="5"/>
    </row>
    <row r="17" spans="2:12" outlineLevel="1" x14ac:dyDescent="0.25">
      <c r="B17" s="5"/>
      <c r="C17" s="5"/>
      <c r="D17" s="9"/>
      <c r="E17" s="117"/>
      <c r="F17" s="5"/>
      <c r="G17" s="11"/>
      <c r="H17" s="11"/>
      <c r="I17" s="11"/>
      <c r="J17" s="9"/>
      <c r="K17" s="109"/>
    </row>
    <row r="18" spans="2:12" outlineLevel="1" x14ac:dyDescent="0.25">
      <c r="B18" s="5"/>
      <c r="C18" s="5" t="s">
        <v>150</v>
      </c>
      <c r="D18" s="9" t="s">
        <v>66</v>
      </c>
      <c r="E18" s="12">
        <v>2</v>
      </c>
      <c r="F18" s="5"/>
      <c r="G18" s="11"/>
      <c r="H18" s="11"/>
      <c r="I18" s="11"/>
      <c r="J18" s="9"/>
      <c r="K18" s="109"/>
    </row>
    <row r="19" spans="2:12" outlineLevel="1" x14ac:dyDescent="0.25">
      <c r="B19" s="5"/>
      <c r="C19" s="81" t="s">
        <v>141</v>
      </c>
      <c r="D19" s="9" t="s">
        <v>6</v>
      </c>
      <c r="E19" s="19">
        <v>2.5000000000000001E-2</v>
      </c>
      <c r="F19" s="5"/>
      <c r="G19" s="11"/>
      <c r="H19" s="11"/>
      <c r="I19" s="11"/>
      <c r="J19" s="9"/>
      <c r="K19" s="109"/>
    </row>
    <row r="20" spans="2:12" x14ac:dyDescent="0.25">
      <c r="B20" s="13"/>
      <c r="C20" s="13"/>
      <c r="D20" s="15"/>
      <c r="E20" s="13"/>
      <c r="F20" s="13"/>
      <c r="G20" s="13"/>
      <c r="H20" s="13"/>
      <c r="I20" s="13"/>
      <c r="J20" s="13"/>
      <c r="K20" s="23"/>
    </row>
    <row r="21" spans="2:12" x14ac:dyDescent="0.25">
      <c r="B21" s="7" t="s">
        <v>9</v>
      </c>
      <c r="C21" s="7"/>
      <c r="D21" s="8" t="str">
        <f>+$D$5</f>
        <v>Units:</v>
      </c>
      <c r="E21" s="7"/>
      <c r="F21" s="7"/>
      <c r="G21" s="7"/>
      <c r="H21" s="7"/>
      <c r="I21" s="7"/>
      <c r="J21" s="8" t="str">
        <f>+$D$5</f>
        <v>Units:</v>
      </c>
      <c r="K21" s="7"/>
      <c r="L21" s="7"/>
    </row>
    <row r="22" spans="2:12" outlineLevel="1" x14ac:dyDescent="0.25">
      <c r="B22" s="5"/>
      <c r="C22" s="5"/>
      <c r="D22" s="4"/>
      <c r="E22" s="5"/>
      <c r="F22" s="5"/>
      <c r="G22" s="5"/>
      <c r="H22" s="5"/>
      <c r="I22" s="5"/>
      <c r="J22" s="5"/>
      <c r="K22" s="5"/>
    </row>
    <row r="23" spans="2:12" outlineLevel="1" x14ac:dyDescent="0.25">
      <c r="B23" s="5"/>
      <c r="C23" s="5" t="s">
        <v>10</v>
      </c>
      <c r="D23" s="9" t="s">
        <v>3</v>
      </c>
      <c r="E23" s="14">
        <v>43100</v>
      </c>
      <c r="F23" s="5"/>
      <c r="G23" s="22" t="s">
        <v>15</v>
      </c>
      <c r="J23" s="9" t="s">
        <v>3</v>
      </c>
      <c r="K23" s="14">
        <f>K55</f>
        <v>44926</v>
      </c>
    </row>
    <row r="24" spans="2:12" outlineLevel="1" x14ac:dyDescent="0.25">
      <c r="B24" s="5"/>
      <c r="C24" s="81" t="s">
        <v>151</v>
      </c>
      <c r="D24" s="9" t="s">
        <v>42</v>
      </c>
      <c r="E24" s="12">
        <v>1000</v>
      </c>
      <c r="F24" s="5"/>
      <c r="G24" s="22" t="s">
        <v>43</v>
      </c>
      <c r="J24" s="24" t="s">
        <v>6</v>
      </c>
      <c r="K24" s="29">
        <v>0.06</v>
      </c>
    </row>
    <row r="25" spans="2:12" outlineLevel="1" x14ac:dyDescent="0.25">
      <c r="B25" s="5"/>
      <c r="C25" s="5" t="s">
        <v>11</v>
      </c>
      <c r="D25" s="24" t="s">
        <v>12</v>
      </c>
      <c r="E25" s="25">
        <f>+E24*Rentable_SF</f>
        <v>25000000</v>
      </c>
      <c r="F25" s="5"/>
      <c r="G25" s="22"/>
      <c r="J25" s="9"/>
      <c r="K25" s="80"/>
    </row>
    <row r="26" spans="2:12" outlineLevel="1" x14ac:dyDescent="0.25">
      <c r="B26" s="5"/>
      <c r="F26" s="5"/>
      <c r="G26" s="22" t="s">
        <v>16</v>
      </c>
      <c r="J26" s="24" t="s">
        <v>12</v>
      </c>
      <c r="K26" s="25">
        <f>+L136/Exit_Cap_Rate</f>
        <v>35684042.393106267</v>
      </c>
    </row>
    <row r="27" spans="2:12" outlineLevel="1" x14ac:dyDescent="0.25">
      <c r="B27" s="5"/>
      <c r="C27" s="5" t="s">
        <v>124</v>
      </c>
      <c r="D27" s="24" t="s">
        <v>6</v>
      </c>
      <c r="E27" s="105">
        <f>+G136/Entry_Price</f>
        <v>6.9866272000000007E-2</v>
      </c>
      <c r="F27" s="5"/>
      <c r="G27" s="26" t="s">
        <v>152</v>
      </c>
      <c r="I27" s="5"/>
      <c r="J27" s="9" t="s">
        <v>42</v>
      </c>
      <c r="K27" s="27">
        <f>+Exit_Price/Rentable_SF</f>
        <v>1427.3616957242507</v>
      </c>
    </row>
    <row r="28" spans="2:12" outlineLevel="1" x14ac:dyDescent="0.25">
      <c r="B28" s="5"/>
      <c r="C28" s="81"/>
      <c r="D28" s="9"/>
      <c r="E28" s="27"/>
    </row>
    <row r="29" spans="2:12" outlineLevel="1" x14ac:dyDescent="0.25">
      <c r="B29" s="5"/>
      <c r="C29" s="5" t="s">
        <v>13</v>
      </c>
      <c r="D29" s="9" t="s">
        <v>6</v>
      </c>
      <c r="E29" s="16">
        <v>0.01</v>
      </c>
      <c r="F29" s="5"/>
      <c r="G29" s="5" t="s">
        <v>17</v>
      </c>
      <c r="J29" s="9" t="s">
        <v>6</v>
      </c>
      <c r="K29" s="16">
        <v>1.4999999999999999E-2</v>
      </c>
    </row>
    <row r="30" spans="2:12" outlineLevel="1" x14ac:dyDescent="0.25">
      <c r="B30" s="5"/>
      <c r="C30" s="26" t="s">
        <v>95</v>
      </c>
      <c r="D30" s="9" t="s">
        <v>6</v>
      </c>
      <c r="E30" s="16">
        <v>1.4999999999999999E-2</v>
      </c>
      <c r="F30" s="5"/>
    </row>
    <row r="31" spans="2:12" outlineLevel="1" x14ac:dyDescent="0.25">
      <c r="B31" s="5"/>
      <c r="F31" s="5"/>
    </row>
    <row r="32" spans="2:12" outlineLevel="1" x14ac:dyDescent="0.25">
      <c r="B32" s="5"/>
      <c r="C32" s="26" t="s">
        <v>91</v>
      </c>
      <c r="D32" s="24" t="s">
        <v>6</v>
      </c>
      <c r="E32" s="19">
        <v>0.5</v>
      </c>
      <c r="F32" s="5"/>
      <c r="G32" s="26" t="s">
        <v>96</v>
      </c>
      <c r="J32" s="24" t="s">
        <v>6</v>
      </c>
      <c r="K32" s="19">
        <v>0.1</v>
      </c>
    </row>
    <row r="33" spans="2:12" outlineLevel="1" x14ac:dyDescent="0.25">
      <c r="B33" s="5"/>
      <c r="C33" s="26" t="s">
        <v>92</v>
      </c>
      <c r="D33" s="24" t="s">
        <v>6</v>
      </c>
      <c r="E33" s="16">
        <v>0.05</v>
      </c>
      <c r="F33" s="5"/>
      <c r="G33" s="26" t="s">
        <v>99</v>
      </c>
      <c r="J33" s="24" t="s">
        <v>6</v>
      </c>
      <c r="K33" s="16">
        <v>7.0000000000000007E-2</v>
      </c>
    </row>
    <row r="34" spans="2:12" outlineLevel="1" x14ac:dyDescent="0.25">
      <c r="B34" s="5"/>
      <c r="C34" s="26" t="s">
        <v>93</v>
      </c>
      <c r="D34" s="24" t="s">
        <v>14</v>
      </c>
      <c r="E34" s="17">
        <v>25</v>
      </c>
      <c r="F34" s="5"/>
      <c r="G34" s="26" t="s">
        <v>100</v>
      </c>
      <c r="J34" s="24" t="s">
        <v>6</v>
      </c>
      <c r="K34" s="16">
        <v>0.03</v>
      </c>
    </row>
    <row r="35" spans="2:12" outlineLevel="1" x14ac:dyDescent="0.25">
      <c r="B35" s="5"/>
      <c r="C35" s="26" t="s">
        <v>94</v>
      </c>
      <c r="D35" s="24" t="s">
        <v>14</v>
      </c>
      <c r="E35" s="17">
        <v>5</v>
      </c>
      <c r="F35" s="5"/>
      <c r="G35" s="26" t="s">
        <v>97</v>
      </c>
      <c r="J35" s="24" t="s">
        <v>14</v>
      </c>
      <c r="K35" s="17" t="s">
        <v>101</v>
      </c>
    </row>
    <row r="36" spans="2:12" outlineLevel="1" x14ac:dyDescent="0.25">
      <c r="B36" s="5"/>
      <c r="C36" s="5"/>
      <c r="D36" s="30"/>
      <c r="E36" s="30"/>
      <c r="F36" s="5"/>
      <c r="G36" s="26" t="s">
        <v>98</v>
      </c>
      <c r="J36" s="24" t="s">
        <v>14</v>
      </c>
      <c r="K36" s="17">
        <v>5</v>
      </c>
    </row>
    <row r="37" spans="2:12" outlineLevel="1" x14ac:dyDescent="0.25">
      <c r="B37" s="5"/>
      <c r="C37" s="5" t="s">
        <v>128</v>
      </c>
      <c r="D37" s="24" t="s">
        <v>6</v>
      </c>
      <c r="E37" s="19">
        <v>0.1</v>
      </c>
      <c r="F37" s="5"/>
      <c r="G37" s="11"/>
      <c r="H37" s="5"/>
      <c r="I37" s="5"/>
      <c r="J37" s="5"/>
      <c r="K37" s="5"/>
    </row>
    <row r="38" spans="2:12" outlineLevel="1" x14ac:dyDescent="0.25">
      <c r="B38" s="5"/>
      <c r="C38" s="5" t="s">
        <v>135</v>
      </c>
      <c r="D38" s="24" t="s">
        <v>6</v>
      </c>
      <c r="E38" s="19">
        <v>1.4999999999999999E-2</v>
      </c>
      <c r="F38" s="5"/>
      <c r="G38" s="11"/>
      <c r="H38" s="5"/>
      <c r="I38" s="5"/>
      <c r="J38" s="5"/>
      <c r="K38" s="5"/>
    </row>
    <row r="39" spans="2:12" outlineLevel="1" x14ac:dyDescent="0.25">
      <c r="B39" s="5"/>
      <c r="C39" s="5" t="s">
        <v>138</v>
      </c>
      <c r="D39" s="24" t="s">
        <v>6</v>
      </c>
      <c r="E39" s="19">
        <v>0</v>
      </c>
      <c r="F39" s="5"/>
      <c r="G39" s="11"/>
      <c r="H39" s="5"/>
      <c r="I39" s="5"/>
      <c r="J39" s="5"/>
      <c r="K39" s="5"/>
    </row>
    <row r="40" spans="2:12" outlineLevel="1" x14ac:dyDescent="0.25">
      <c r="B40" s="5"/>
      <c r="C40" s="5" t="s">
        <v>136</v>
      </c>
      <c r="D40" s="24" t="s">
        <v>6</v>
      </c>
      <c r="E40" s="19">
        <v>0.1</v>
      </c>
      <c r="F40" s="5"/>
      <c r="G40" s="11"/>
      <c r="H40" s="5"/>
      <c r="I40" s="5"/>
      <c r="J40" s="5"/>
      <c r="K40" s="5"/>
    </row>
    <row r="41" spans="2:12" outlineLevel="1" x14ac:dyDescent="0.25">
      <c r="B41" s="5"/>
      <c r="C41" s="5" t="s">
        <v>137</v>
      </c>
      <c r="D41" s="24" t="s">
        <v>6</v>
      </c>
      <c r="E41" s="19">
        <v>0.2</v>
      </c>
      <c r="F41" s="5"/>
      <c r="G41" s="11"/>
      <c r="H41" s="5"/>
      <c r="I41" s="5"/>
      <c r="J41" s="5"/>
      <c r="K41" s="5"/>
    </row>
    <row r="42" spans="2:12" outlineLevel="1" x14ac:dyDescent="0.25">
      <c r="B42" s="5"/>
      <c r="C42" s="5"/>
      <c r="D42" s="30"/>
      <c r="E42" s="84"/>
      <c r="F42" s="5"/>
      <c r="G42" s="11"/>
      <c r="H42" s="5"/>
      <c r="I42" s="5"/>
      <c r="J42" s="5"/>
      <c r="K42" s="5"/>
    </row>
    <row r="43" spans="2:12" outlineLevel="1" x14ac:dyDescent="0.25">
      <c r="B43" s="5"/>
      <c r="C43" s="5" t="s">
        <v>129</v>
      </c>
      <c r="D43" s="24" t="s">
        <v>6</v>
      </c>
      <c r="E43" s="111">
        <f>1-Op_Equity_Pct</f>
        <v>0.9</v>
      </c>
      <c r="F43" s="5"/>
      <c r="G43" s="11"/>
      <c r="H43" s="5"/>
      <c r="I43" s="5"/>
      <c r="J43" s="5"/>
      <c r="K43" s="5"/>
    </row>
    <row r="44" spans="2:12" x14ac:dyDescent="0.25">
      <c r="B44" s="5"/>
      <c r="C44" s="5"/>
      <c r="D44" s="30"/>
      <c r="E44" s="30"/>
      <c r="F44" s="5"/>
      <c r="G44" s="11"/>
      <c r="H44" s="5"/>
      <c r="I44" s="5"/>
      <c r="J44" s="5"/>
      <c r="K44" s="5"/>
    </row>
    <row r="45" spans="2:12" x14ac:dyDescent="0.25">
      <c r="B45" s="7" t="s">
        <v>41</v>
      </c>
      <c r="C45" s="31"/>
      <c r="D45" s="7"/>
      <c r="E45" s="7"/>
      <c r="F45" s="7"/>
      <c r="G45" s="7"/>
      <c r="H45" s="7"/>
      <c r="I45" s="7"/>
      <c r="J45" s="7"/>
      <c r="K45" s="7"/>
      <c r="L45" s="7"/>
    </row>
    <row r="46" spans="2:12" outlineLevel="1" x14ac:dyDescent="0.25">
      <c r="B46" s="5"/>
      <c r="C46" s="11"/>
      <c r="D46" s="4"/>
      <c r="E46" s="5"/>
      <c r="F46" s="5"/>
      <c r="G46" s="5"/>
      <c r="H46" s="5"/>
      <c r="I46" s="5"/>
      <c r="J46" s="5"/>
      <c r="K46" s="5"/>
    </row>
    <row r="47" spans="2:12" outlineLevel="1" x14ac:dyDescent="0.25">
      <c r="B47" s="5"/>
      <c r="C47" s="28" t="s">
        <v>20</v>
      </c>
      <c r="D47" s="28"/>
      <c r="E47" s="28"/>
      <c r="F47" s="5"/>
      <c r="G47" s="28" t="s">
        <v>21</v>
      </c>
      <c r="H47" s="28"/>
      <c r="I47" s="28"/>
      <c r="J47" s="28"/>
      <c r="K47" s="28"/>
    </row>
    <row r="48" spans="2:12" outlineLevel="1" x14ac:dyDescent="0.25">
      <c r="B48" s="5"/>
      <c r="C48" s="32" t="s">
        <v>22</v>
      </c>
      <c r="D48" s="32"/>
      <c r="E48" s="33">
        <f>+Entry_Price*Senior_LTV</f>
        <v>12500000</v>
      </c>
      <c r="F48" s="34"/>
      <c r="G48" s="32" t="str">
        <f>C25</f>
        <v>Acquisition Price:</v>
      </c>
      <c r="H48" s="35"/>
      <c r="I48" s="35"/>
      <c r="J48" s="35"/>
      <c r="K48" s="33">
        <f>+Entry_Price</f>
        <v>25000000</v>
      </c>
      <c r="L48" s="91"/>
    </row>
    <row r="49" spans="2:12" outlineLevel="1" x14ac:dyDescent="0.25">
      <c r="B49" s="5"/>
      <c r="C49" s="93" t="s">
        <v>102</v>
      </c>
      <c r="E49" s="36">
        <f>+Entry_Price*Mezzanine_LTV</f>
        <v>2500000</v>
      </c>
      <c r="F49" s="5"/>
      <c r="G49" s="93" t="s">
        <v>84</v>
      </c>
      <c r="K49" s="36">
        <f>+Entry_Price*Entry_Fee_Pct</f>
        <v>250000</v>
      </c>
    </row>
    <row r="50" spans="2:12" outlineLevel="1" x14ac:dyDescent="0.25">
      <c r="B50" s="5"/>
      <c r="C50" s="32" t="s">
        <v>103</v>
      </c>
      <c r="D50" s="32"/>
      <c r="E50" s="36">
        <f>($K$52-Senior_Loan-Mezzanine)*Op_Equity_Pct</f>
        <v>1053750</v>
      </c>
      <c r="F50" s="5"/>
      <c r="G50" s="32" t="s">
        <v>85</v>
      </c>
      <c r="K50" s="35">
        <f>(Senior_LTV+Mezzanine_LTV)*Entry_Price*Loan_Fees</f>
        <v>225000</v>
      </c>
    </row>
    <row r="51" spans="2:12" outlineLevel="1" x14ac:dyDescent="0.25">
      <c r="B51" s="5"/>
      <c r="C51" s="32" t="s">
        <v>104</v>
      </c>
      <c r="D51" s="32"/>
      <c r="E51" s="36">
        <f>($K$52-Senior_Loan-Mezzanine)*LP_Equity_Pct</f>
        <v>9483750</v>
      </c>
      <c r="F51" s="5"/>
      <c r="G51" s="93" t="s">
        <v>140</v>
      </c>
      <c r="K51" s="35">
        <f>+Reserve_per_SF*Rentable_SF</f>
        <v>62500</v>
      </c>
    </row>
    <row r="52" spans="2:12" outlineLevel="1" x14ac:dyDescent="0.25">
      <c r="B52" s="5"/>
      <c r="C52" s="37" t="s">
        <v>23</v>
      </c>
      <c r="D52" s="37"/>
      <c r="E52" s="38">
        <f>SUM(E48:E51)</f>
        <v>25537500</v>
      </c>
      <c r="F52" s="5"/>
      <c r="G52" s="37" t="s">
        <v>35</v>
      </c>
      <c r="H52" s="37"/>
      <c r="I52" s="37"/>
      <c r="J52" s="37"/>
      <c r="K52" s="38">
        <f>SUM(K48:K51)</f>
        <v>25537500</v>
      </c>
    </row>
    <row r="53" spans="2:12" x14ac:dyDescent="0.25">
      <c r="B53" s="5"/>
      <c r="C53" s="5"/>
      <c r="D53" s="30"/>
      <c r="E53" s="30"/>
      <c r="F53" s="5"/>
      <c r="G53" s="11"/>
      <c r="H53" s="5"/>
      <c r="I53" s="5"/>
      <c r="J53" s="5"/>
      <c r="K53" s="5"/>
    </row>
    <row r="54" spans="2:12" x14ac:dyDescent="0.25">
      <c r="B54" s="39"/>
      <c r="C54" s="39"/>
      <c r="D54" s="40"/>
      <c r="E54" s="39"/>
      <c r="F54" s="41" t="s">
        <v>18</v>
      </c>
      <c r="G54" s="42" t="s">
        <v>19</v>
      </c>
      <c r="H54" s="43"/>
      <c r="I54" s="43"/>
      <c r="J54" s="43"/>
      <c r="K54" s="43"/>
      <c r="L54" s="44" t="s">
        <v>36</v>
      </c>
    </row>
    <row r="55" spans="2:12" x14ac:dyDescent="0.25">
      <c r="B55" s="7" t="s">
        <v>123</v>
      </c>
      <c r="C55" s="7"/>
      <c r="D55" s="8" t="str">
        <f>+$D$5</f>
        <v>Units:</v>
      </c>
      <c r="E55" s="7"/>
      <c r="F55" s="45">
        <f>Start_Date</f>
        <v>43100</v>
      </c>
      <c r="G55" s="46">
        <f t="shared" ref="G55:K55" si="0">EOMONTH(F55,Months)</f>
        <v>43465</v>
      </c>
      <c r="H55" s="45">
        <f t="shared" si="0"/>
        <v>43830</v>
      </c>
      <c r="I55" s="45">
        <f t="shared" si="0"/>
        <v>44196</v>
      </c>
      <c r="J55" s="45">
        <f t="shared" si="0"/>
        <v>44561</v>
      </c>
      <c r="K55" s="45">
        <f t="shared" si="0"/>
        <v>44926</v>
      </c>
      <c r="L55" s="45" t="s">
        <v>37</v>
      </c>
    </row>
    <row r="56" spans="2:12" outlineLevel="1" x14ac:dyDescent="0.25">
      <c r="B56" s="5"/>
      <c r="C56" s="5"/>
      <c r="D56" s="4"/>
      <c r="E56" s="5"/>
      <c r="F56" s="5"/>
      <c r="G56" s="5"/>
      <c r="H56" s="5"/>
      <c r="I56" s="5"/>
      <c r="J56" s="5"/>
      <c r="K56" s="5"/>
    </row>
    <row r="57" spans="2:12" outlineLevel="1" x14ac:dyDescent="0.25">
      <c r="B57" s="5"/>
      <c r="C57" s="95" t="s">
        <v>122</v>
      </c>
      <c r="D57" s="96"/>
      <c r="E57" s="97"/>
      <c r="F57" s="97"/>
      <c r="G57" s="97"/>
      <c r="H57" s="97"/>
      <c r="I57" s="97"/>
      <c r="J57" s="97"/>
      <c r="K57" s="97"/>
      <c r="L57" s="98"/>
    </row>
    <row r="58" spans="2:12" outlineLevel="1" x14ac:dyDescent="0.25">
      <c r="B58" s="5"/>
      <c r="C58" s="11" t="s">
        <v>112</v>
      </c>
      <c r="D58" s="9" t="s">
        <v>14</v>
      </c>
      <c r="E58" s="17">
        <v>10</v>
      </c>
      <c r="F58" s="5"/>
      <c r="G58" s="5"/>
      <c r="H58" s="5"/>
      <c r="I58" s="5"/>
      <c r="J58" s="5"/>
      <c r="K58" s="5"/>
    </row>
    <row r="59" spans="2:12" outlineLevel="1" x14ac:dyDescent="0.25">
      <c r="B59" s="5"/>
      <c r="C59" s="11" t="s">
        <v>111</v>
      </c>
      <c r="D59" s="24" t="s">
        <v>6</v>
      </c>
      <c r="E59" s="19">
        <v>0.7</v>
      </c>
      <c r="F59" s="5"/>
      <c r="G59" s="5"/>
      <c r="H59" s="5"/>
      <c r="I59" s="5"/>
      <c r="J59" s="5"/>
      <c r="K59" s="5"/>
    </row>
    <row r="60" spans="2:12" outlineLevel="1" x14ac:dyDescent="0.25">
      <c r="B60" s="5"/>
      <c r="C60" s="11" t="s">
        <v>116</v>
      </c>
      <c r="D60" s="9" t="s">
        <v>4</v>
      </c>
      <c r="E60" s="79">
        <v>6</v>
      </c>
      <c r="F60" s="5"/>
      <c r="G60" s="5"/>
      <c r="H60" s="5"/>
      <c r="I60" s="5"/>
      <c r="J60" s="5"/>
      <c r="K60" s="5"/>
    </row>
    <row r="61" spans="2:12" outlineLevel="1" x14ac:dyDescent="0.25">
      <c r="B61" s="5"/>
      <c r="C61" s="5"/>
      <c r="D61" s="4"/>
      <c r="E61" s="5"/>
      <c r="F61" s="5"/>
      <c r="G61" s="5"/>
      <c r="H61" s="5"/>
      <c r="I61" s="5"/>
      <c r="J61" s="5"/>
      <c r="K61" s="5"/>
    </row>
    <row r="62" spans="2:12" outlineLevel="1" x14ac:dyDescent="0.25">
      <c r="B62" s="5"/>
      <c r="C62" s="102" t="s">
        <v>119</v>
      </c>
      <c r="D62" s="100"/>
      <c r="E62" s="100" t="s">
        <v>120</v>
      </c>
      <c r="F62" s="101" t="s">
        <v>121</v>
      </c>
      <c r="G62" s="5"/>
      <c r="H62" s="5"/>
      <c r="I62" s="5"/>
      <c r="J62" s="5"/>
      <c r="K62" s="5"/>
    </row>
    <row r="63" spans="2:12" outlineLevel="1" x14ac:dyDescent="0.25">
      <c r="B63" s="5"/>
      <c r="C63" s="11" t="s">
        <v>115</v>
      </c>
      <c r="D63" s="9" t="s">
        <v>4</v>
      </c>
      <c r="E63" s="103">
        <v>6</v>
      </c>
      <c r="F63" s="103">
        <v>3</v>
      </c>
      <c r="G63" s="5"/>
      <c r="H63" s="5"/>
      <c r="I63" s="5"/>
      <c r="J63" s="5"/>
      <c r="K63" s="5"/>
    </row>
    <row r="64" spans="2:12" outlineLevel="1" x14ac:dyDescent="0.25">
      <c r="B64" s="5"/>
      <c r="C64" s="11" t="s">
        <v>117</v>
      </c>
      <c r="D64" s="9" t="s">
        <v>66</v>
      </c>
      <c r="E64" s="12">
        <v>10</v>
      </c>
      <c r="F64" s="85">
        <v>3</v>
      </c>
      <c r="G64" s="5"/>
      <c r="H64" s="5"/>
      <c r="I64" s="5"/>
      <c r="J64" s="5"/>
      <c r="K64" s="5"/>
    </row>
    <row r="65" spans="2:13" outlineLevel="1" x14ac:dyDescent="0.25">
      <c r="B65" s="5"/>
      <c r="C65" s="11" t="s">
        <v>118</v>
      </c>
      <c r="D65" s="24" t="s">
        <v>6</v>
      </c>
      <c r="E65" s="19">
        <v>0.03</v>
      </c>
      <c r="F65" s="19">
        <v>0.01</v>
      </c>
      <c r="G65" s="5"/>
      <c r="H65" s="34"/>
      <c r="I65" s="5"/>
      <c r="J65" s="5"/>
      <c r="K65" s="5"/>
    </row>
    <row r="66" spans="2:13" outlineLevel="1" x14ac:dyDescent="0.25">
      <c r="B66" s="5"/>
      <c r="C66" s="5"/>
      <c r="D66" s="4"/>
      <c r="E66" s="5"/>
      <c r="F66" s="5"/>
      <c r="G66" s="5"/>
      <c r="H66" s="5"/>
      <c r="I66" s="5"/>
      <c r="J66" s="5"/>
      <c r="K66" s="5"/>
    </row>
    <row r="67" spans="2:13" outlineLevel="1" x14ac:dyDescent="0.25">
      <c r="B67" s="5"/>
      <c r="C67" s="95" t="s">
        <v>105</v>
      </c>
      <c r="D67" s="96"/>
      <c r="E67" s="97"/>
      <c r="F67" s="97"/>
      <c r="G67" s="97"/>
      <c r="H67" s="97"/>
      <c r="I67" s="97"/>
      <c r="J67" s="97"/>
      <c r="K67" s="97"/>
      <c r="L67" s="98"/>
    </row>
    <row r="68" spans="2:13" outlineLevel="1" x14ac:dyDescent="0.25">
      <c r="B68" s="5"/>
      <c r="C68" s="11" t="s">
        <v>107</v>
      </c>
      <c r="D68" s="20" t="s">
        <v>8</v>
      </c>
      <c r="E68" s="94">
        <v>10000</v>
      </c>
      <c r="G68" s="5"/>
      <c r="H68" s="5"/>
      <c r="I68" s="5"/>
      <c r="J68" s="5"/>
      <c r="K68" s="5"/>
    </row>
    <row r="69" spans="2:13" outlineLevel="1" x14ac:dyDescent="0.25">
      <c r="B69" s="5"/>
      <c r="C69" s="11" t="s">
        <v>110</v>
      </c>
      <c r="D69" s="9" t="s">
        <v>3</v>
      </c>
      <c r="E69" s="14">
        <v>43830</v>
      </c>
      <c r="G69" s="5"/>
      <c r="H69" s="5"/>
      <c r="I69" s="5"/>
      <c r="J69" s="5"/>
      <c r="K69" s="5"/>
    </row>
    <row r="70" spans="2:13" outlineLevel="1" x14ac:dyDescent="0.25">
      <c r="B70" s="5"/>
      <c r="C70" s="11"/>
      <c r="D70" s="20"/>
      <c r="E70" s="99"/>
      <c r="G70" s="5"/>
      <c r="H70" s="5"/>
      <c r="I70" s="5"/>
      <c r="J70" s="5"/>
      <c r="K70" s="5"/>
    </row>
    <row r="71" spans="2:13" outlineLevel="1" x14ac:dyDescent="0.25">
      <c r="B71" s="5"/>
      <c r="C71" s="11" t="s">
        <v>108</v>
      </c>
      <c r="D71" s="9" t="s">
        <v>66</v>
      </c>
      <c r="E71" s="5"/>
      <c r="F71" s="12">
        <v>120</v>
      </c>
      <c r="G71" s="27">
        <f>+F71*(1+G72)</f>
        <v>124.80000000000001</v>
      </c>
      <c r="H71" s="27">
        <f t="shared" ref="H71:L71" si="1">+G71*(1+H72)</f>
        <v>129.79200000000003</v>
      </c>
      <c r="I71" s="27">
        <f t="shared" si="1"/>
        <v>134.98368000000005</v>
      </c>
      <c r="J71" s="27">
        <f t="shared" si="1"/>
        <v>139.03319040000005</v>
      </c>
      <c r="K71" s="27">
        <f t="shared" si="1"/>
        <v>143.20418611200006</v>
      </c>
      <c r="L71" s="27">
        <f t="shared" si="1"/>
        <v>147.50031169536007</v>
      </c>
    </row>
    <row r="72" spans="2:13" outlineLevel="1" x14ac:dyDescent="0.25">
      <c r="B72" s="5"/>
      <c r="C72" s="11" t="s">
        <v>109</v>
      </c>
      <c r="D72" s="24" t="s">
        <v>6</v>
      </c>
      <c r="E72" s="5"/>
      <c r="F72" s="5"/>
      <c r="G72" s="19">
        <v>0.04</v>
      </c>
      <c r="H72" s="19">
        <v>0.04</v>
      </c>
      <c r="I72" s="19">
        <v>0.04</v>
      </c>
      <c r="J72" s="19">
        <v>0.03</v>
      </c>
      <c r="K72" s="19">
        <v>0.03</v>
      </c>
      <c r="L72" s="19">
        <v>0.03</v>
      </c>
    </row>
    <row r="73" spans="2:13" outlineLevel="1" x14ac:dyDescent="0.25">
      <c r="B73" s="5"/>
      <c r="C73" s="11"/>
      <c r="D73" s="24"/>
      <c r="E73" s="5"/>
      <c r="F73" s="5"/>
      <c r="G73" s="84"/>
      <c r="H73" s="84"/>
      <c r="I73" s="35"/>
      <c r="J73" s="84"/>
      <c r="K73" s="84"/>
      <c r="L73" s="84"/>
    </row>
    <row r="74" spans="2:13" outlineLevel="1" x14ac:dyDescent="0.25">
      <c r="B74" s="5"/>
      <c r="C74" s="11" t="s">
        <v>62</v>
      </c>
      <c r="D74" s="24" t="s">
        <v>12</v>
      </c>
      <c r="E74" s="5"/>
      <c r="F74" s="35">
        <f>+F71*$E68</f>
        <v>1200000</v>
      </c>
      <c r="G74" s="35">
        <f>+G71*$E68</f>
        <v>1248000</v>
      </c>
      <c r="H74" s="35">
        <f t="shared" ref="H74:L74" si="2">+H71*$E68</f>
        <v>1297920.0000000002</v>
      </c>
      <c r="I74" s="35">
        <f t="shared" si="2"/>
        <v>1349836.8000000005</v>
      </c>
      <c r="J74" s="35">
        <f t="shared" si="2"/>
        <v>1390331.9040000006</v>
      </c>
      <c r="K74" s="35">
        <f t="shared" si="2"/>
        <v>1432041.8611200005</v>
      </c>
      <c r="L74" s="35">
        <f t="shared" si="2"/>
        <v>1475003.1169536007</v>
      </c>
      <c r="M74" s="35"/>
    </row>
    <row r="75" spans="2:13" outlineLevel="1" x14ac:dyDescent="0.25">
      <c r="B75" s="5"/>
      <c r="C75" s="11" t="s">
        <v>78</v>
      </c>
      <c r="D75" s="24" t="s">
        <v>12</v>
      </c>
      <c r="E75" s="5"/>
      <c r="F75" s="87">
        <v>0</v>
      </c>
      <c r="G75" s="87">
        <v>0</v>
      </c>
      <c r="H75" s="87">
        <v>0</v>
      </c>
      <c r="I75" s="35">
        <f>-I74*(1-Renewal_Probability)*(Down_Months/Months)</f>
        <v>-202475.52000000011</v>
      </c>
      <c r="J75" s="87">
        <v>0</v>
      </c>
      <c r="K75" s="87">
        <v>0</v>
      </c>
      <c r="L75" s="87">
        <v>0</v>
      </c>
    </row>
    <row r="76" spans="2:13" outlineLevel="1" x14ac:dyDescent="0.25">
      <c r="B76" s="5"/>
      <c r="C76" s="11" t="s">
        <v>80</v>
      </c>
      <c r="D76" s="24" t="s">
        <v>12</v>
      </c>
      <c r="E76" s="5"/>
      <c r="F76" s="87">
        <v>0</v>
      </c>
      <c r="G76" s="87">
        <v>0</v>
      </c>
      <c r="H76" s="87">
        <v>0</v>
      </c>
      <c r="I76" s="35">
        <f>-I74*(1-Renewal_Probability)*(New_Free_Rent_Months/Months)-I74*Renewal_Probability*(Renewal_Free_Rent_Months/Months)</f>
        <v>-438696.9600000002</v>
      </c>
      <c r="J76" s="87">
        <v>0</v>
      </c>
      <c r="K76" s="87">
        <v>0</v>
      </c>
      <c r="L76" s="87">
        <v>0</v>
      </c>
    </row>
    <row r="77" spans="2:13" outlineLevel="1" x14ac:dyDescent="0.25">
      <c r="B77" s="5"/>
      <c r="C77" s="11" t="s">
        <v>113</v>
      </c>
      <c r="D77" s="24" t="s">
        <v>12</v>
      </c>
      <c r="E77" s="5"/>
      <c r="F77" s="87">
        <v>0</v>
      </c>
      <c r="G77" s="87">
        <v>0</v>
      </c>
      <c r="H77" s="87">
        <v>0</v>
      </c>
      <c r="I77" s="35">
        <f>-$E68*(1-Renewal_Probability)*New_TIs-$E68*Renewal_Probability*Renewal_TIs</f>
        <v>-51000</v>
      </c>
      <c r="J77" s="87">
        <v>0</v>
      </c>
      <c r="K77" s="87">
        <v>0</v>
      </c>
      <c r="L77" s="87">
        <v>0</v>
      </c>
    </row>
    <row r="78" spans="2:13" outlineLevel="1" x14ac:dyDescent="0.25">
      <c r="B78" s="5"/>
      <c r="C78" s="11" t="s">
        <v>114</v>
      </c>
      <c r="D78" s="24" t="s">
        <v>12</v>
      </c>
      <c r="E78" s="5"/>
      <c r="F78" s="87">
        <v>0</v>
      </c>
      <c r="G78" s="87">
        <v>0</v>
      </c>
      <c r="H78" s="87">
        <v>0</v>
      </c>
      <c r="I78" s="35">
        <f>-(1-Renewal_Probability)*I71*$E68*New_Lease_Years*New_LC_Pct-Renewal_Probability*I71*$E68*New_Lease_Years*Renewal_LC_Pct</f>
        <v>-215973.88800000009</v>
      </c>
      <c r="J78" s="87">
        <v>0</v>
      </c>
      <c r="K78" s="87">
        <v>0</v>
      </c>
      <c r="L78" s="87">
        <v>0</v>
      </c>
    </row>
    <row r="79" spans="2:13" outlineLevel="1" x14ac:dyDescent="0.25">
      <c r="B79" s="5"/>
      <c r="C79" s="5"/>
      <c r="D79" s="4"/>
      <c r="E79" s="5"/>
      <c r="F79" s="5"/>
      <c r="G79" s="5"/>
      <c r="H79" s="5"/>
      <c r="I79" s="35"/>
      <c r="J79" s="5"/>
      <c r="K79" s="5"/>
    </row>
    <row r="80" spans="2:13" outlineLevel="1" x14ac:dyDescent="0.25">
      <c r="B80" s="5"/>
      <c r="C80" s="95" t="s">
        <v>106</v>
      </c>
      <c r="D80" s="96"/>
      <c r="E80" s="97"/>
      <c r="F80" s="97"/>
      <c r="G80" s="97"/>
      <c r="H80" s="97"/>
      <c r="I80" s="97"/>
      <c r="J80" s="97"/>
      <c r="K80" s="97"/>
      <c r="L80" s="98"/>
    </row>
    <row r="81" spans="2:12" outlineLevel="1" x14ac:dyDescent="0.25">
      <c r="B81" s="5"/>
      <c r="C81" s="11" t="s">
        <v>107</v>
      </c>
      <c r="D81" s="20" t="s">
        <v>8</v>
      </c>
      <c r="E81" s="21">
        <v>7000</v>
      </c>
      <c r="F81" s="5"/>
      <c r="G81" s="5"/>
      <c r="H81" s="5"/>
      <c r="I81" s="5"/>
      <c r="J81" s="5"/>
      <c r="K81" s="5"/>
    </row>
    <row r="82" spans="2:12" outlineLevel="1" x14ac:dyDescent="0.25">
      <c r="B82" s="5"/>
      <c r="C82" s="11" t="s">
        <v>110</v>
      </c>
      <c r="D82" s="9" t="s">
        <v>3</v>
      </c>
      <c r="E82" s="14">
        <v>44196</v>
      </c>
      <c r="F82" s="5"/>
      <c r="G82" s="5"/>
      <c r="H82" s="5"/>
      <c r="I82" s="5"/>
      <c r="J82" s="5"/>
      <c r="K82" s="5"/>
    </row>
    <row r="83" spans="2:12" outlineLevel="1" x14ac:dyDescent="0.25">
      <c r="B83" s="5"/>
      <c r="C83" s="5"/>
      <c r="D83" s="4"/>
      <c r="E83" s="5"/>
      <c r="F83" s="5"/>
      <c r="G83" s="5"/>
      <c r="H83" s="5"/>
      <c r="I83" s="5"/>
      <c r="J83" s="5"/>
      <c r="K83" s="5"/>
    </row>
    <row r="84" spans="2:12" outlineLevel="1" x14ac:dyDescent="0.25">
      <c r="B84" s="5"/>
      <c r="C84" s="11" t="s">
        <v>108</v>
      </c>
      <c r="D84" s="9" t="s">
        <v>66</v>
      </c>
      <c r="E84" s="5"/>
      <c r="F84" s="12">
        <v>105</v>
      </c>
      <c r="G84" s="27">
        <f>+F84*(1+G85)</f>
        <v>110.25</v>
      </c>
      <c r="H84" s="27">
        <f t="shared" ref="H84" si="3">+G84*(1+H85)</f>
        <v>115.7625</v>
      </c>
      <c r="I84" s="27">
        <f t="shared" ref="I84" si="4">+H84*(1+I85)</f>
        <v>120.393</v>
      </c>
      <c r="J84" s="27">
        <f t="shared" ref="J84" si="5">+I84*(1+J85)</f>
        <v>125.20872</v>
      </c>
      <c r="K84" s="27">
        <f t="shared" ref="K84" si="6">+J84*(1+K85)</f>
        <v>128.96498160000002</v>
      </c>
      <c r="L84" s="27">
        <f t="shared" ref="L84" si="7">+K84*(1+L85)</f>
        <v>132.83393104800001</v>
      </c>
    </row>
    <row r="85" spans="2:12" outlineLevel="1" x14ac:dyDescent="0.25">
      <c r="B85" s="5"/>
      <c r="C85" s="11" t="s">
        <v>109</v>
      </c>
      <c r="D85" s="24" t="s">
        <v>6</v>
      </c>
      <c r="E85" s="5"/>
      <c r="F85" s="5"/>
      <c r="G85" s="19">
        <v>0.05</v>
      </c>
      <c r="H85" s="19">
        <v>0.05</v>
      </c>
      <c r="I85" s="19">
        <v>0.04</v>
      </c>
      <c r="J85" s="19">
        <v>0.04</v>
      </c>
      <c r="K85" s="19">
        <v>0.03</v>
      </c>
      <c r="L85" s="19">
        <v>0.03</v>
      </c>
    </row>
    <row r="86" spans="2:12" outlineLevel="1" x14ac:dyDescent="0.25">
      <c r="B86" s="5"/>
      <c r="C86" s="11"/>
      <c r="D86" s="24"/>
      <c r="E86" s="5"/>
    </row>
    <row r="87" spans="2:12" outlineLevel="1" x14ac:dyDescent="0.25">
      <c r="B87" s="5"/>
      <c r="C87" s="11" t="s">
        <v>62</v>
      </c>
      <c r="D87" s="24" t="s">
        <v>12</v>
      </c>
      <c r="E87" s="5"/>
      <c r="F87" s="35">
        <f>+F84*$E81</f>
        <v>735000</v>
      </c>
      <c r="G87" s="35">
        <f>+G84*$E81</f>
        <v>771750</v>
      </c>
      <c r="H87" s="35">
        <f t="shared" ref="H87:L87" si="8">+H84*$E81</f>
        <v>810337.5</v>
      </c>
      <c r="I87" s="35">
        <f t="shared" si="8"/>
        <v>842751</v>
      </c>
      <c r="J87" s="35">
        <f t="shared" si="8"/>
        <v>876461.04</v>
      </c>
      <c r="K87" s="35">
        <f t="shared" si="8"/>
        <v>902754.87120000005</v>
      </c>
      <c r="L87" s="35">
        <f t="shared" si="8"/>
        <v>929837.51733600011</v>
      </c>
    </row>
    <row r="88" spans="2:12" outlineLevel="1" x14ac:dyDescent="0.25">
      <c r="B88" s="5"/>
      <c r="C88" s="11" t="s">
        <v>78</v>
      </c>
      <c r="D88" s="24" t="s">
        <v>12</v>
      </c>
      <c r="E88" s="5"/>
      <c r="F88" s="87">
        <v>0</v>
      </c>
      <c r="G88" s="87">
        <v>0</v>
      </c>
      <c r="H88" s="87">
        <v>0</v>
      </c>
      <c r="I88" s="87">
        <v>0</v>
      </c>
      <c r="J88" s="35">
        <f>-J87*(1-Renewal_Probability)*(Down_Months/Months)</f>
        <v>-131469.15600000002</v>
      </c>
      <c r="K88" s="87">
        <v>0</v>
      </c>
      <c r="L88" s="87">
        <v>0</v>
      </c>
    </row>
    <row r="89" spans="2:12" outlineLevel="1" x14ac:dyDescent="0.25">
      <c r="B89" s="5"/>
      <c r="C89" s="11" t="s">
        <v>80</v>
      </c>
      <c r="D89" s="24" t="s">
        <v>12</v>
      </c>
      <c r="E89" s="5"/>
      <c r="F89" s="87">
        <v>0</v>
      </c>
      <c r="G89" s="87">
        <v>0</v>
      </c>
      <c r="H89" s="87">
        <v>0</v>
      </c>
      <c r="I89" s="87">
        <v>0</v>
      </c>
      <c r="J89" s="35">
        <f>-J87*(1-Renewal_Probability)*(New_Free_Rent_Months/Months)-J87*Renewal_Probability*(Renewal_Free_Rent_Months/Months)</f>
        <v>-284849.83799999999</v>
      </c>
      <c r="K89" s="87">
        <v>0</v>
      </c>
      <c r="L89" s="87">
        <v>0</v>
      </c>
    </row>
    <row r="90" spans="2:12" outlineLevel="1" x14ac:dyDescent="0.25">
      <c r="B90" s="5"/>
      <c r="C90" s="11" t="s">
        <v>113</v>
      </c>
      <c r="D90" s="24" t="s">
        <v>12</v>
      </c>
      <c r="E90" s="5"/>
      <c r="F90" s="87">
        <v>0</v>
      </c>
      <c r="G90" s="87">
        <v>0</v>
      </c>
      <c r="H90" s="87">
        <v>0</v>
      </c>
      <c r="I90" s="87">
        <v>0</v>
      </c>
      <c r="J90" s="35">
        <f>-$E81*(1-Renewal_Probability)*New_TIs-$E81*Renewal_Probability*Renewal_TIs</f>
        <v>-35700</v>
      </c>
      <c r="K90" s="87">
        <v>0</v>
      </c>
      <c r="L90" s="87">
        <v>0</v>
      </c>
    </row>
    <row r="91" spans="2:12" outlineLevel="1" x14ac:dyDescent="0.25">
      <c r="B91" s="5"/>
      <c r="C91" s="11" t="s">
        <v>114</v>
      </c>
      <c r="D91" s="24" t="s">
        <v>12</v>
      </c>
      <c r="E91" s="5"/>
      <c r="F91" s="87">
        <v>0</v>
      </c>
      <c r="G91" s="87">
        <v>0</v>
      </c>
      <c r="H91" s="87">
        <v>0</v>
      </c>
      <c r="I91" s="87">
        <v>0</v>
      </c>
      <c r="J91" s="35">
        <f>-(1-Renewal_Probability)*J84*$E81*New_Lease_Years*New_LC_Pct-Renewal_Probability*J84*$E81*New_Lease_Years*Renewal_LC_Pct</f>
        <v>-140233.76640000002</v>
      </c>
      <c r="K91" s="87">
        <v>0</v>
      </c>
      <c r="L91" s="87">
        <v>0</v>
      </c>
    </row>
    <row r="92" spans="2:12" outlineLevel="1" x14ac:dyDescent="0.25">
      <c r="B92" s="5"/>
      <c r="C92" s="5"/>
      <c r="D92" s="4"/>
      <c r="E92" s="5"/>
      <c r="F92" s="5"/>
      <c r="G92" s="5"/>
      <c r="H92" s="5"/>
      <c r="I92" s="5"/>
      <c r="J92" s="5"/>
      <c r="K92" s="5"/>
    </row>
    <row r="93" spans="2:12" outlineLevel="1" x14ac:dyDescent="0.25">
      <c r="B93" s="5"/>
      <c r="C93" s="11" t="s">
        <v>63</v>
      </c>
      <c r="D93" s="24" t="s">
        <v>12</v>
      </c>
      <c r="E93" s="5"/>
      <c r="F93" s="35">
        <f t="shared" ref="F93:L93" si="9">-F132*($E$81/Rentable_SF)</f>
        <v>280000</v>
      </c>
      <c r="G93" s="35">
        <f t="shared" si="9"/>
        <v>285600</v>
      </c>
      <c r="H93" s="35">
        <f t="shared" si="9"/>
        <v>291312</v>
      </c>
      <c r="I93" s="35">
        <f t="shared" si="9"/>
        <v>297138.24000000005</v>
      </c>
      <c r="J93" s="35">
        <f>-J132*($E$81/Rentable_SF)+J132*($E$81/Rentable_SF)*(1-Renewal_Probability)*(Down_Months/Months)</f>
        <v>257618.85407999999</v>
      </c>
      <c r="K93" s="35">
        <f t="shared" si="9"/>
        <v>309142.62489600002</v>
      </c>
      <c r="L93" s="35">
        <f t="shared" si="9"/>
        <v>315325.47739392001</v>
      </c>
    </row>
    <row r="94" spans="2:12" outlineLevel="1" x14ac:dyDescent="0.25">
      <c r="B94" s="5"/>
      <c r="C94" s="5"/>
      <c r="D94" s="4"/>
      <c r="E94" s="110"/>
      <c r="F94" s="5"/>
      <c r="G94" s="5"/>
      <c r="H94" s="5"/>
      <c r="I94" s="5"/>
      <c r="J94" s="5"/>
      <c r="K94" s="5"/>
    </row>
    <row r="95" spans="2:12" outlineLevel="1" x14ac:dyDescent="0.25">
      <c r="B95" s="5"/>
      <c r="C95" s="95" t="s">
        <v>139</v>
      </c>
      <c r="D95" s="96"/>
      <c r="E95" s="97"/>
      <c r="F95" s="97"/>
      <c r="G95" s="97"/>
      <c r="H95" s="97"/>
      <c r="I95" s="97"/>
      <c r="J95" s="97"/>
      <c r="K95" s="97"/>
      <c r="L95" s="98"/>
    </row>
    <row r="96" spans="2:12" outlineLevel="1" x14ac:dyDescent="0.25">
      <c r="B96" s="5"/>
      <c r="C96" s="11" t="s">
        <v>107</v>
      </c>
      <c r="D96" s="20" t="s">
        <v>8</v>
      </c>
      <c r="E96" s="21">
        <v>6000</v>
      </c>
      <c r="F96" s="5"/>
      <c r="G96" s="5"/>
      <c r="H96" s="5"/>
      <c r="I96" s="5"/>
      <c r="J96" s="5"/>
      <c r="K96" s="5"/>
    </row>
    <row r="97" spans="2:12" outlineLevel="1" x14ac:dyDescent="0.25">
      <c r="B97" s="5"/>
      <c r="C97" s="11" t="s">
        <v>110</v>
      </c>
      <c r="D97" s="9" t="s">
        <v>3</v>
      </c>
      <c r="E97" s="14">
        <v>45657</v>
      </c>
      <c r="F97" s="5"/>
      <c r="G97" s="5"/>
      <c r="H97" s="5"/>
      <c r="I97" s="5"/>
      <c r="J97" s="5"/>
      <c r="K97" s="5"/>
    </row>
    <row r="98" spans="2:12" outlineLevel="1" x14ac:dyDescent="0.25">
      <c r="B98" s="5"/>
      <c r="C98" s="5"/>
      <c r="D98" s="4"/>
      <c r="E98" s="5"/>
      <c r="F98" s="5"/>
      <c r="G98" s="5"/>
      <c r="H98" s="5"/>
      <c r="I98" s="5"/>
      <c r="J98" s="5"/>
      <c r="K98" s="5"/>
    </row>
    <row r="99" spans="2:12" outlineLevel="1" x14ac:dyDescent="0.25">
      <c r="B99" s="5"/>
      <c r="C99" s="11" t="s">
        <v>108</v>
      </c>
      <c r="D99" s="9" t="s">
        <v>66</v>
      </c>
      <c r="E99" s="5"/>
      <c r="F99" s="12">
        <v>90</v>
      </c>
      <c r="G99" s="27">
        <f>+F99*(1+G100)</f>
        <v>95.4</v>
      </c>
      <c r="H99" s="27">
        <f t="shared" ref="H99" si="10">+G99*(1+H100)</f>
        <v>100.17000000000002</v>
      </c>
      <c r="I99" s="27">
        <f t="shared" ref="I99" si="11">+H99*(1+I100)</f>
        <v>104.67765000000001</v>
      </c>
      <c r="J99" s="27">
        <f t="shared" ref="J99" si="12">+I99*(1+J100)</f>
        <v>108.86475600000001</v>
      </c>
      <c r="K99" s="27">
        <f t="shared" ref="K99" si="13">+J99*(1+K100)</f>
        <v>112.13069868000002</v>
      </c>
      <c r="L99" s="27">
        <f t="shared" ref="L99" si="14">+K99*(1+L100)</f>
        <v>115.49461964040003</v>
      </c>
    </row>
    <row r="100" spans="2:12" outlineLevel="1" x14ac:dyDescent="0.25">
      <c r="B100" s="5"/>
      <c r="C100" s="11" t="s">
        <v>109</v>
      </c>
      <c r="D100" s="24" t="s">
        <v>6</v>
      </c>
      <c r="E100" s="5"/>
      <c r="F100" s="5"/>
      <c r="G100" s="19">
        <v>0.06</v>
      </c>
      <c r="H100" s="19">
        <v>0.05</v>
      </c>
      <c r="I100" s="19">
        <v>4.4999999999999998E-2</v>
      </c>
      <c r="J100" s="19">
        <v>0.04</v>
      </c>
      <c r="K100" s="19">
        <v>0.03</v>
      </c>
      <c r="L100" s="19">
        <v>0.03</v>
      </c>
    </row>
    <row r="101" spans="2:12" outlineLevel="1" x14ac:dyDescent="0.25">
      <c r="B101" s="5"/>
      <c r="C101" s="5"/>
      <c r="D101" s="4"/>
      <c r="E101" s="5"/>
      <c r="F101" s="5"/>
      <c r="G101" s="5"/>
      <c r="H101" s="5"/>
      <c r="I101" s="5"/>
      <c r="J101" s="5"/>
      <c r="K101" s="5"/>
    </row>
    <row r="102" spans="2:12" outlineLevel="1" x14ac:dyDescent="0.25">
      <c r="B102" s="5"/>
      <c r="C102" s="11" t="s">
        <v>62</v>
      </c>
      <c r="D102" s="24" t="s">
        <v>12</v>
      </c>
      <c r="E102" s="5"/>
      <c r="F102" s="35">
        <f>+F99*$E96</f>
        <v>540000</v>
      </c>
      <c r="G102" s="35">
        <f>+G99*$E96</f>
        <v>572400</v>
      </c>
      <c r="H102" s="35">
        <f t="shared" ref="H102:L102" si="15">+H99*$E96</f>
        <v>601020.00000000012</v>
      </c>
      <c r="I102" s="35">
        <f t="shared" si="15"/>
        <v>628065.90000000014</v>
      </c>
      <c r="J102" s="35">
        <f t="shared" si="15"/>
        <v>653188.53600000008</v>
      </c>
      <c r="K102" s="35">
        <f t="shared" si="15"/>
        <v>672784.19208000018</v>
      </c>
      <c r="L102" s="35">
        <f t="shared" si="15"/>
        <v>692967.71784240019</v>
      </c>
    </row>
    <row r="103" spans="2:12" outlineLevel="1" x14ac:dyDescent="0.25">
      <c r="B103" s="5"/>
      <c r="C103" s="11" t="s">
        <v>78</v>
      </c>
      <c r="D103" s="24" t="s">
        <v>12</v>
      </c>
      <c r="E103" s="5"/>
      <c r="F103" s="87">
        <v>0</v>
      </c>
      <c r="G103" s="87">
        <v>0</v>
      </c>
      <c r="H103" s="87">
        <v>0</v>
      </c>
      <c r="I103" s="87">
        <v>0</v>
      </c>
      <c r="J103" s="87">
        <v>0</v>
      </c>
      <c r="K103" s="87">
        <v>0</v>
      </c>
      <c r="L103" s="87">
        <v>0</v>
      </c>
    </row>
    <row r="104" spans="2:12" outlineLevel="1" x14ac:dyDescent="0.25">
      <c r="B104" s="5"/>
      <c r="C104" s="11" t="s">
        <v>80</v>
      </c>
      <c r="D104" s="24" t="s">
        <v>12</v>
      </c>
      <c r="E104" s="5"/>
      <c r="F104" s="87">
        <v>0</v>
      </c>
      <c r="G104" s="87">
        <v>0</v>
      </c>
      <c r="H104" s="87">
        <v>0</v>
      </c>
      <c r="I104" s="87">
        <v>0</v>
      </c>
      <c r="J104" s="87">
        <v>0</v>
      </c>
      <c r="K104" s="87">
        <v>0</v>
      </c>
      <c r="L104" s="87">
        <v>0</v>
      </c>
    </row>
    <row r="105" spans="2:12" outlineLevel="1" x14ac:dyDescent="0.25">
      <c r="B105" s="5"/>
      <c r="C105" s="11" t="s">
        <v>113</v>
      </c>
      <c r="D105" s="24" t="s">
        <v>12</v>
      </c>
      <c r="E105" s="5"/>
      <c r="F105" s="87">
        <v>0</v>
      </c>
      <c r="G105" s="87">
        <v>0</v>
      </c>
      <c r="H105" s="87">
        <v>0</v>
      </c>
      <c r="I105" s="87">
        <v>0</v>
      </c>
      <c r="J105" s="87">
        <v>0</v>
      </c>
      <c r="K105" s="87">
        <v>0</v>
      </c>
      <c r="L105" s="87">
        <v>0</v>
      </c>
    </row>
    <row r="106" spans="2:12" outlineLevel="1" x14ac:dyDescent="0.25">
      <c r="B106" s="5"/>
      <c r="C106" s="11" t="s">
        <v>114</v>
      </c>
      <c r="D106" s="24" t="s">
        <v>12</v>
      </c>
      <c r="E106" s="5"/>
      <c r="F106" s="87">
        <v>0</v>
      </c>
      <c r="G106" s="87">
        <v>0</v>
      </c>
      <c r="H106" s="87">
        <v>0</v>
      </c>
      <c r="I106" s="87">
        <v>0</v>
      </c>
      <c r="J106" s="87">
        <v>0</v>
      </c>
      <c r="K106" s="87">
        <v>0</v>
      </c>
      <c r="L106" s="87">
        <v>0</v>
      </c>
    </row>
    <row r="107" spans="2:12" outlineLevel="1" x14ac:dyDescent="0.25">
      <c r="B107" s="5"/>
      <c r="C107" s="5"/>
      <c r="D107" s="4"/>
      <c r="E107" s="5"/>
      <c r="F107" s="5"/>
      <c r="G107" s="5"/>
      <c r="H107" s="5"/>
      <c r="I107" s="5"/>
      <c r="J107" s="5"/>
      <c r="K107" s="5"/>
    </row>
    <row r="108" spans="2:12" outlineLevel="1" x14ac:dyDescent="0.25">
      <c r="B108" s="5"/>
      <c r="C108" s="11" t="s">
        <v>63</v>
      </c>
      <c r="D108" s="24" t="s">
        <v>12</v>
      </c>
      <c r="E108" s="5"/>
      <c r="F108" s="35">
        <f t="shared" ref="F108:L108" si="16">-SUM(F129:F132)*($E$96/Rentable_SF)</f>
        <v>300000</v>
      </c>
      <c r="G108" s="35">
        <f t="shared" si="16"/>
        <v>306690</v>
      </c>
      <c r="H108" s="35">
        <f t="shared" si="16"/>
        <v>313536.45</v>
      </c>
      <c r="I108" s="35">
        <f t="shared" si="16"/>
        <v>320543.22974999994</v>
      </c>
      <c r="J108" s="35">
        <f t="shared" si="16"/>
        <v>327714.32168624998</v>
      </c>
      <c r="K108" s="35">
        <f t="shared" si="16"/>
        <v>335053.81382949371</v>
      </c>
      <c r="L108" s="35">
        <f t="shared" si="16"/>
        <v>342565.9027697721</v>
      </c>
    </row>
    <row r="109" spans="2:12" outlineLevel="1" x14ac:dyDescent="0.25">
      <c r="B109" s="5"/>
      <c r="C109" s="5"/>
      <c r="D109" s="4"/>
      <c r="E109" s="5"/>
      <c r="F109" s="5"/>
      <c r="G109" s="5"/>
      <c r="H109" s="5"/>
      <c r="I109" s="5"/>
      <c r="J109" s="5"/>
      <c r="K109" s="5"/>
    </row>
    <row r="110" spans="2:12" outlineLevel="1" x14ac:dyDescent="0.25">
      <c r="B110" s="5"/>
      <c r="C110" s="81" t="s">
        <v>83</v>
      </c>
      <c r="D110" s="9" t="s">
        <v>12</v>
      </c>
      <c r="E110" s="5"/>
      <c r="F110" s="35">
        <f>+F77+F78+F90+F91+F105+F106</f>
        <v>0</v>
      </c>
      <c r="G110" s="35">
        <f t="shared" ref="G110:L110" si="17">+G77+G78+G90+G91+G105+G106</f>
        <v>0</v>
      </c>
      <c r="H110" s="35">
        <f t="shared" si="17"/>
        <v>0</v>
      </c>
      <c r="I110" s="35">
        <f t="shared" si="17"/>
        <v>-266973.88800000009</v>
      </c>
      <c r="J110" s="35">
        <f t="shared" si="17"/>
        <v>-175933.76640000002</v>
      </c>
      <c r="K110" s="35">
        <f t="shared" si="17"/>
        <v>0</v>
      </c>
      <c r="L110" s="35">
        <f t="shared" si="17"/>
        <v>0</v>
      </c>
    </row>
    <row r="111" spans="2:12" outlineLevel="1" x14ac:dyDescent="0.25">
      <c r="B111" s="5"/>
      <c r="C111" s="81" t="s">
        <v>79</v>
      </c>
      <c r="D111" s="9" t="s">
        <v>12</v>
      </c>
      <c r="E111" s="118">
        <f>+K51</f>
        <v>62500</v>
      </c>
      <c r="F111" s="35">
        <f>+E111-F133-F140</f>
        <v>125000</v>
      </c>
      <c r="G111" s="35">
        <f t="shared" ref="G111:L111" si="18">+F111-G133-G140</f>
        <v>189375</v>
      </c>
      <c r="H111" s="35">
        <f t="shared" si="18"/>
        <v>255681.25</v>
      </c>
      <c r="I111" s="35">
        <f t="shared" si="18"/>
        <v>57002.799499999906</v>
      </c>
      <c r="J111" s="35">
        <f t="shared" si="18"/>
        <v>0</v>
      </c>
      <c r="K111" s="35">
        <f t="shared" si="18"/>
        <v>72454.629643749999</v>
      </c>
      <c r="L111" s="35">
        <f t="shared" si="18"/>
        <v>147082.89817681251</v>
      </c>
    </row>
    <row r="112" spans="2:12" outlineLevel="1" x14ac:dyDescent="0.25">
      <c r="B112" s="5"/>
      <c r="C112" s="5"/>
      <c r="D112" s="4"/>
      <c r="E112" s="5"/>
      <c r="F112" s="5"/>
      <c r="G112" s="5"/>
      <c r="H112" s="5"/>
      <c r="I112" s="5"/>
      <c r="J112" s="5"/>
      <c r="K112" s="5"/>
    </row>
    <row r="113" spans="2:12" outlineLevel="1" x14ac:dyDescent="0.25">
      <c r="B113" s="48"/>
      <c r="C113" s="116" t="s">
        <v>82</v>
      </c>
      <c r="D113" s="49" t="s">
        <v>45</v>
      </c>
      <c r="E113" s="48"/>
      <c r="F113" s="50">
        <f>YEAR(F116)</f>
        <v>2017</v>
      </c>
      <c r="G113" s="50">
        <f>YEAR(G116)</f>
        <v>2018</v>
      </c>
      <c r="H113" s="50">
        <f t="shared" ref="H113:K113" si="19">YEAR(H116)</f>
        <v>2019</v>
      </c>
      <c r="I113" s="50">
        <f t="shared" si="19"/>
        <v>2020</v>
      </c>
      <c r="J113" s="50">
        <f t="shared" si="19"/>
        <v>2021</v>
      </c>
      <c r="K113" s="50">
        <f t="shared" si="19"/>
        <v>2022</v>
      </c>
      <c r="L113" s="50">
        <f>YEAR(EOMONTH(K116,Months))</f>
        <v>2023</v>
      </c>
    </row>
    <row r="114" spans="2:12" x14ac:dyDescent="0.25">
      <c r="B114" s="5"/>
      <c r="C114" s="5"/>
      <c r="D114" s="4"/>
      <c r="E114" s="5"/>
      <c r="F114" s="5"/>
      <c r="G114" s="5"/>
      <c r="H114" s="5"/>
      <c r="I114" s="5"/>
      <c r="J114" s="5"/>
      <c r="K114" s="5"/>
    </row>
    <row r="115" spans="2:12" x14ac:dyDescent="0.25">
      <c r="B115" s="39"/>
      <c r="C115" s="39"/>
      <c r="D115" s="40"/>
      <c r="E115" s="51"/>
      <c r="F115" s="41" t="str">
        <f>+$F$54</f>
        <v>Historical:</v>
      </c>
      <c r="G115" s="42" t="str">
        <f>+$G$54</f>
        <v>Projected:</v>
      </c>
      <c r="H115" s="43"/>
      <c r="I115" s="43"/>
      <c r="J115" s="43"/>
      <c r="K115" s="43"/>
      <c r="L115" s="52" t="str">
        <f>+$L$54</f>
        <v>Stabilized</v>
      </c>
    </row>
    <row r="116" spans="2:12" x14ac:dyDescent="0.25">
      <c r="B116" s="7" t="s">
        <v>24</v>
      </c>
      <c r="C116" s="7"/>
      <c r="D116" s="8" t="str">
        <f>+$D$5</f>
        <v>Units:</v>
      </c>
      <c r="E116" s="53"/>
      <c r="F116" s="54">
        <f>+$F$55</f>
        <v>43100</v>
      </c>
      <c r="G116" s="46">
        <f>+$G$55</f>
        <v>43465</v>
      </c>
      <c r="H116" s="45">
        <f>+$H$55</f>
        <v>43830</v>
      </c>
      <c r="I116" s="45">
        <f>+$I$55</f>
        <v>44196</v>
      </c>
      <c r="J116" s="45">
        <f>+$J$55</f>
        <v>44561</v>
      </c>
      <c r="K116" s="45">
        <f>+$K$55</f>
        <v>44926</v>
      </c>
      <c r="L116" s="45" t="str">
        <f>+$L$55</f>
        <v>Year:</v>
      </c>
    </row>
    <row r="117" spans="2:12" outlineLevel="1" x14ac:dyDescent="0.25">
      <c r="B117" s="5"/>
      <c r="C117" s="5"/>
      <c r="D117" s="4"/>
      <c r="E117" s="55"/>
      <c r="F117" s="55"/>
      <c r="G117" s="55"/>
      <c r="H117" s="35"/>
      <c r="I117" s="35"/>
      <c r="J117" s="35"/>
      <c r="K117" s="35"/>
    </row>
    <row r="118" spans="2:12" outlineLevel="1" x14ac:dyDescent="0.25">
      <c r="B118" s="5"/>
      <c r="C118" s="2" t="s">
        <v>25</v>
      </c>
      <c r="D118" s="4"/>
      <c r="E118" s="35"/>
      <c r="F118" s="34"/>
      <c r="G118" s="35"/>
      <c r="H118" s="34"/>
      <c r="I118" s="35"/>
      <c r="J118" s="35"/>
      <c r="K118" s="35"/>
    </row>
    <row r="119" spans="2:12" outlineLevel="1" x14ac:dyDescent="0.25">
      <c r="B119" s="5"/>
      <c r="C119" s="11" t="s">
        <v>62</v>
      </c>
      <c r="D119" s="9" t="s">
        <v>12</v>
      </c>
      <c r="E119" s="35"/>
      <c r="F119" s="33">
        <f t="shared" ref="F119:L119" si="20">+F74+F87+F102+(Rentable_SF-$E$68-$E$81-$E$96)*F$71</f>
        <v>2715000</v>
      </c>
      <c r="G119" s="33">
        <f t="shared" si="20"/>
        <v>2841750</v>
      </c>
      <c r="H119" s="33">
        <f t="shared" si="20"/>
        <v>2968861.5</v>
      </c>
      <c r="I119" s="33">
        <f t="shared" si="20"/>
        <v>3090621.0600000015</v>
      </c>
      <c r="J119" s="33">
        <f t="shared" si="20"/>
        <v>3198047.8608000004</v>
      </c>
      <c r="K119" s="33">
        <f t="shared" si="20"/>
        <v>3293989.2966240011</v>
      </c>
      <c r="L119" s="33">
        <f t="shared" si="20"/>
        <v>3392808.9755227212</v>
      </c>
    </row>
    <row r="120" spans="2:12" outlineLevel="1" x14ac:dyDescent="0.25">
      <c r="B120" s="5"/>
      <c r="C120" s="11" t="s">
        <v>78</v>
      </c>
      <c r="D120" s="9" t="s">
        <v>12</v>
      </c>
      <c r="E120" s="35"/>
      <c r="F120" s="36">
        <f>+F75+F88+F103</f>
        <v>0</v>
      </c>
      <c r="G120" s="36">
        <f t="shared" ref="G120:L120" si="21">+G75+G88+G103</f>
        <v>0</v>
      </c>
      <c r="H120" s="36">
        <f t="shared" si="21"/>
        <v>0</v>
      </c>
      <c r="I120" s="36">
        <f t="shared" si="21"/>
        <v>-202475.52000000011</v>
      </c>
      <c r="J120" s="36">
        <f t="shared" si="21"/>
        <v>-131469.15600000002</v>
      </c>
      <c r="K120" s="36">
        <f t="shared" si="21"/>
        <v>0</v>
      </c>
      <c r="L120" s="36">
        <f t="shared" si="21"/>
        <v>0</v>
      </c>
    </row>
    <row r="121" spans="2:12" outlineLevel="1" x14ac:dyDescent="0.25">
      <c r="B121" s="5"/>
      <c r="C121" s="11" t="s">
        <v>80</v>
      </c>
      <c r="D121" s="9" t="s">
        <v>12</v>
      </c>
      <c r="E121" s="35"/>
      <c r="F121" s="36">
        <f t="shared" ref="F121:L121" si="22">+F76+F89+F104</f>
        <v>0</v>
      </c>
      <c r="G121" s="36">
        <f t="shared" si="22"/>
        <v>0</v>
      </c>
      <c r="H121" s="36">
        <f t="shared" si="22"/>
        <v>0</v>
      </c>
      <c r="I121" s="36">
        <f t="shared" si="22"/>
        <v>-438696.9600000002</v>
      </c>
      <c r="J121" s="36">
        <f t="shared" si="22"/>
        <v>-284849.83799999999</v>
      </c>
      <c r="K121" s="36">
        <f t="shared" si="22"/>
        <v>0</v>
      </c>
      <c r="L121" s="36">
        <f t="shared" si="22"/>
        <v>0</v>
      </c>
    </row>
    <row r="122" spans="2:12" outlineLevel="1" x14ac:dyDescent="0.25">
      <c r="B122" s="5"/>
      <c r="C122" s="11" t="s">
        <v>63</v>
      </c>
      <c r="D122" s="9" t="s">
        <v>12</v>
      </c>
      <c r="E122" s="35"/>
      <c r="F122" s="36">
        <f>+F93+F108</f>
        <v>580000</v>
      </c>
      <c r="G122" s="36">
        <f t="shared" ref="G122:L122" si="23">+G93+G108</f>
        <v>592290</v>
      </c>
      <c r="H122" s="36">
        <f t="shared" si="23"/>
        <v>604848.44999999995</v>
      </c>
      <c r="I122" s="36">
        <f t="shared" si="23"/>
        <v>617681.46974999993</v>
      </c>
      <c r="J122" s="36">
        <f t="shared" si="23"/>
        <v>585333.17576625</v>
      </c>
      <c r="K122" s="36">
        <f t="shared" si="23"/>
        <v>644196.43872549373</v>
      </c>
      <c r="L122" s="36">
        <f t="shared" si="23"/>
        <v>657891.38016369217</v>
      </c>
    </row>
    <row r="123" spans="2:12" outlineLevel="1" x14ac:dyDescent="0.25">
      <c r="B123" s="5"/>
      <c r="C123" s="82" t="s">
        <v>64</v>
      </c>
      <c r="D123" s="83" t="s">
        <v>12</v>
      </c>
      <c r="E123" s="55"/>
      <c r="F123" s="92">
        <f>SUM(F119:F122)</f>
        <v>3295000</v>
      </c>
      <c r="G123" s="92">
        <f t="shared" ref="G123:L123" si="24">SUM(G119:G122)</f>
        <v>3434040</v>
      </c>
      <c r="H123" s="92">
        <f t="shared" si="24"/>
        <v>3573709.95</v>
      </c>
      <c r="I123" s="92">
        <f t="shared" si="24"/>
        <v>3067130.0497500012</v>
      </c>
      <c r="J123" s="92">
        <f t="shared" si="24"/>
        <v>3367062.0425662505</v>
      </c>
      <c r="K123" s="92">
        <f t="shared" si="24"/>
        <v>3938185.735349495</v>
      </c>
      <c r="L123" s="92">
        <f t="shared" si="24"/>
        <v>4050700.3556864131</v>
      </c>
    </row>
    <row r="124" spans="2:12" outlineLevel="1" x14ac:dyDescent="0.25">
      <c r="B124" s="5"/>
      <c r="C124" s="11" t="s">
        <v>75</v>
      </c>
      <c r="D124" s="57" t="s">
        <v>12</v>
      </c>
      <c r="E124" s="35"/>
      <c r="F124" s="35">
        <f t="shared" ref="F124:L124" si="25">-(Rentable_SF-$E$68-$E$81-$E$96)*F$71</f>
        <v>-240000</v>
      </c>
      <c r="G124" s="35">
        <f t="shared" si="25"/>
        <v>-249600.00000000003</v>
      </c>
      <c r="H124" s="35">
        <f t="shared" si="25"/>
        <v>-259584.00000000006</v>
      </c>
      <c r="I124" s="35">
        <f t="shared" si="25"/>
        <v>-269967.3600000001</v>
      </c>
      <c r="J124" s="35">
        <f t="shared" si="25"/>
        <v>-278066.3808000001</v>
      </c>
      <c r="K124" s="35">
        <f t="shared" si="25"/>
        <v>-286408.37222400011</v>
      </c>
      <c r="L124" s="35">
        <f t="shared" si="25"/>
        <v>-295000.62339072011</v>
      </c>
    </row>
    <row r="125" spans="2:12" outlineLevel="1" x14ac:dyDescent="0.25">
      <c r="B125" s="5"/>
      <c r="C125" s="58" t="s">
        <v>26</v>
      </c>
      <c r="D125" s="9" t="s">
        <v>12</v>
      </c>
      <c r="E125" s="55"/>
      <c r="F125" s="37">
        <f>SUM(F123:F124)</f>
        <v>3055000</v>
      </c>
      <c r="G125" s="37">
        <f t="shared" ref="G125:L125" si="26">SUM(G123:G124)</f>
        <v>3184440</v>
      </c>
      <c r="H125" s="37">
        <f t="shared" si="26"/>
        <v>3314125.95</v>
      </c>
      <c r="I125" s="37">
        <f t="shared" si="26"/>
        <v>2797162.6897500008</v>
      </c>
      <c r="J125" s="37">
        <f t="shared" si="26"/>
        <v>3088995.6617662506</v>
      </c>
      <c r="K125" s="37">
        <f t="shared" si="26"/>
        <v>3651777.3631254947</v>
      </c>
      <c r="L125" s="37">
        <f t="shared" si="26"/>
        <v>3755699.7322956929</v>
      </c>
    </row>
    <row r="126" spans="2:12" outlineLevel="1" x14ac:dyDescent="0.25">
      <c r="B126" s="5"/>
      <c r="C126" s="5"/>
      <c r="D126" s="4"/>
      <c r="E126" s="35"/>
      <c r="F126" s="35"/>
      <c r="G126" s="35"/>
      <c r="H126" s="35"/>
      <c r="I126" s="35"/>
      <c r="J126" s="35"/>
      <c r="K126" s="35"/>
      <c r="L126" s="35"/>
    </row>
    <row r="127" spans="2:12" outlineLevel="1" x14ac:dyDescent="0.25">
      <c r="B127" s="5"/>
      <c r="C127" s="2" t="s">
        <v>27</v>
      </c>
      <c r="D127" s="4"/>
      <c r="E127" s="35"/>
      <c r="F127" s="106"/>
      <c r="G127" s="35"/>
      <c r="H127" s="35"/>
      <c r="I127" s="35"/>
      <c r="J127" s="35"/>
      <c r="K127" s="35"/>
      <c r="L127" s="35"/>
    </row>
    <row r="128" spans="2:12" outlineLevel="1" x14ac:dyDescent="0.25">
      <c r="B128" s="5"/>
      <c r="C128" s="11" t="s">
        <v>65</v>
      </c>
      <c r="D128" s="9" t="s">
        <v>12</v>
      </c>
      <c r="E128" s="35"/>
      <c r="F128" s="35">
        <f t="shared" ref="F128:L128" si="27">-F125*Prop_Mgmt_Fees</f>
        <v>-91650.000000000015</v>
      </c>
      <c r="G128" s="35">
        <f t="shared" si="27"/>
        <v>-95533.200000000012</v>
      </c>
      <c r="H128" s="35">
        <f t="shared" si="27"/>
        <v>-99423.778500000029</v>
      </c>
      <c r="I128" s="35">
        <f t="shared" si="27"/>
        <v>-83914.880692500039</v>
      </c>
      <c r="J128" s="35">
        <f t="shared" si="27"/>
        <v>-92669.86985298754</v>
      </c>
      <c r="K128" s="35">
        <f t="shared" si="27"/>
        <v>-109553.32089376486</v>
      </c>
      <c r="L128" s="35">
        <f t="shared" si="27"/>
        <v>-112670.9919688708</v>
      </c>
    </row>
    <row r="129" spans="2:12" outlineLevel="1" x14ac:dyDescent="0.25">
      <c r="B129" s="5"/>
      <c r="C129" s="11" t="s">
        <v>144</v>
      </c>
      <c r="D129" s="9" t="s">
        <v>12</v>
      </c>
      <c r="E129" s="35"/>
      <c r="F129" s="35">
        <f>-CAM_per_SF*Rentable_SF</f>
        <v>-125000</v>
      </c>
      <c r="G129" s="35">
        <f t="shared" ref="G129:L129" si="28">+F129*(1+CAM_Growth)</f>
        <v>-129374.99999999999</v>
      </c>
      <c r="H129" s="35">
        <f t="shared" si="28"/>
        <v>-133903.12499999997</v>
      </c>
      <c r="I129" s="35">
        <f t="shared" si="28"/>
        <v>-138589.73437499997</v>
      </c>
      <c r="J129" s="35">
        <f t="shared" si="28"/>
        <v>-143440.37507812495</v>
      </c>
      <c r="K129" s="35">
        <f t="shared" si="28"/>
        <v>-148460.78820585931</v>
      </c>
      <c r="L129" s="35">
        <f t="shared" si="28"/>
        <v>-153656.91579306437</v>
      </c>
    </row>
    <row r="130" spans="2:12" outlineLevel="1" x14ac:dyDescent="0.25">
      <c r="B130" s="5"/>
      <c r="C130" s="11" t="s">
        <v>145</v>
      </c>
      <c r="D130" s="9" t="s">
        <v>12</v>
      </c>
      <c r="E130" s="35"/>
      <c r="F130" s="35">
        <f>-Utilities_per_SF*Rentable_SF</f>
        <v>-75000</v>
      </c>
      <c r="G130" s="35">
        <f t="shared" ref="G130:L130" si="29">+F130*(1+Utilities_Growth)</f>
        <v>-77250</v>
      </c>
      <c r="H130" s="35">
        <f t="shared" si="29"/>
        <v>-79567.5</v>
      </c>
      <c r="I130" s="35">
        <f t="shared" si="29"/>
        <v>-81954.525000000009</v>
      </c>
      <c r="J130" s="35">
        <f t="shared" si="29"/>
        <v>-84413.16075000001</v>
      </c>
      <c r="K130" s="35">
        <f t="shared" si="29"/>
        <v>-86945.555572500016</v>
      </c>
      <c r="L130" s="35">
        <f t="shared" si="29"/>
        <v>-89553.922239675012</v>
      </c>
    </row>
    <row r="131" spans="2:12" outlineLevel="1" x14ac:dyDescent="0.25">
      <c r="B131" s="5"/>
      <c r="C131" s="11" t="s">
        <v>146</v>
      </c>
      <c r="D131" s="9" t="s">
        <v>12</v>
      </c>
      <c r="E131" s="35"/>
      <c r="F131" s="35">
        <f>-Insurance_per_SF*Rentable_SF</f>
        <v>-50000</v>
      </c>
      <c r="G131" s="35">
        <f t="shared" ref="G131:L131" si="30">+F131*(1+Insurance_Growth)</f>
        <v>-51249.999999999993</v>
      </c>
      <c r="H131" s="35">
        <f t="shared" si="30"/>
        <v>-52531.249999999985</v>
      </c>
      <c r="I131" s="35">
        <f t="shared" si="30"/>
        <v>-53844.531249999978</v>
      </c>
      <c r="J131" s="35">
        <f t="shared" si="30"/>
        <v>-55190.644531249971</v>
      </c>
      <c r="K131" s="35">
        <f t="shared" si="30"/>
        <v>-56570.410644531214</v>
      </c>
      <c r="L131" s="35">
        <f t="shared" si="30"/>
        <v>-57984.670910644491</v>
      </c>
    </row>
    <row r="132" spans="2:12" outlineLevel="1" x14ac:dyDescent="0.25">
      <c r="B132" s="5"/>
      <c r="C132" s="11" t="s">
        <v>61</v>
      </c>
      <c r="D132" s="9" t="s">
        <v>12</v>
      </c>
      <c r="E132" s="35"/>
      <c r="F132" s="35">
        <f>-RE_Taxes_Pct_Property_Value*Entry_Price</f>
        <v>-1000000</v>
      </c>
      <c r="G132" s="35">
        <f t="shared" ref="G132:L132" si="31">+F132*(1+RE_Taxes_Growth_Rate)</f>
        <v>-1020000</v>
      </c>
      <c r="H132" s="35">
        <f t="shared" si="31"/>
        <v>-1040400</v>
      </c>
      <c r="I132" s="35">
        <f t="shared" si="31"/>
        <v>-1061208</v>
      </c>
      <c r="J132" s="35">
        <f t="shared" si="31"/>
        <v>-1082432.1599999999</v>
      </c>
      <c r="K132" s="35">
        <f t="shared" si="31"/>
        <v>-1104080.8032</v>
      </c>
      <c r="L132" s="35">
        <f t="shared" si="31"/>
        <v>-1126162.4192639999</v>
      </c>
    </row>
    <row r="133" spans="2:12" outlineLevel="1" x14ac:dyDescent="0.25">
      <c r="B133" s="5"/>
      <c r="C133" s="11" t="s">
        <v>67</v>
      </c>
      <c r="D133" s="57" t="s">
        <v>12</v>
      </c>
      <c r="E133" s="35"/>
      <c r="F133" s="35">
        <f>-Reserve_per_SF*Rentable_SF</f>
        <v>-62500</v>
      </c>
      <c r="G133" s="35">
        <f t="shared" ref="G133:L133" si="32">+F133*(1+Reserve_Growth_Rate)</f>
        <v>-64375</v>
      </c>
      <c r="H133" s="35">
        <f t="shared" si="32"/>
        <v>-66306.25</v>
      </c>
      <c r="I133" s="35">
        <f t="shared" si="32"/>
        <v>-68295.4375</v>
      </c>
      <c r="J133" s="35">
        <f t="shared" si="32"/>
        <v>-70344.300625000003</v>
      </c>
      <c r="K133" s="35">
        <f t="shared" si="32"/>
        <v>-72454.629643749999</v>
      </c>
      <c r="L133" s="35">
        <f t="shared" si="32"/>
        <v>-74628.268533062495</v>
      </c>
    </row>
    <row r="134" spans="2:12" outlineLevel="1" x14ac:dyDescent="0.25">
      <c r="B134" s="5"/>
      <c r="C134" s="58" t="s">
        <v>28</v>
      </c>
      <c r="D134" s="9" t="s">
        <v>12</v>
      </c>
      <c r="E134" s="55"/>
      <c r="F134" s="37">
        <f>SUM(F128:F133)</f>
        <v>-1404150</v>
      </c>
      <c r="G134" s="37">
        <f>SUM(G128:G133)</f>
        <v>-1437783.2</v>
      </c>
      <c r="H134" s="37">
        <f t="shared" ref="H134:L134" si="33">SUM(H128:H133)</f>
        <v>-1472131.9035</v>
      </c>
      <c r="I134" s="37">
        <f t="shared" si="33"/>
        <v>-1487807.1088175001</v>
      </c>
      <c r="J134" s="37">
        <f t="shared" si="33"/>
        <v>-1528490.5108373624</v>
      </c>
      <c r="K134" s="37">
        <f t="shared" si="33"/>
        <v>-1578065.5081604053</v>
      </c>
      <c r="L134" s="37">
        <f t="shared" si="33"/>
        <v>-1614657.188709317</v>
      </c>
    </row>
    <row r="135" spans="2:12" outlineLevel="1" x14ac:dyDescent="0.25">
      <c r="B135" s="5"/>
      <c r="C135" s="5"/>
      <c r="D135" s="4"/>
      <c r="E135" s="35"/>
      <c r="F135" s="35"/>
      <c r="G135" s="35"/>
      <c r="H135" s="35"/>
      <c r="I135" s="35"/>
      <c r="J135" s="35"/>
      <c r="K135" s="35"/>
      <c r="L135" s="35"/>
    </row>
    <row r="136" spans="2:12" outlineLevel="1" x14ac:dyDescent="0.25">
      <c r="B136" s="5"/>
      <c r="C136" s="2" t="s">
        <v>29</v>
      </c>
      <c r="D136" s="9" t="s">
        <v>12</v>
      </c>
      <c r="E136" s="35"/>
      <c r="F136" s="59">
        <f>+F125+F134</f>
        <v>1650850</v>
      </c>
      <c r="G136" s="59">
        <f t="shared" ref="G136:L136" si="34">+G125+G134</f>
        <v>1746656.8</v>
      </c>
      <c r="H136" s="59">
        <f t="shared" si="34"/>
        <v>1841994.0465000002</v>
      </c>
      <c r="I136" s="59">
        <f t="shared" si="34"/>
        <v>1309355.5809325008</v>
      </c>
      <c r="J136" s="59">
        <f t="shared" si="34"/>
        <v>1560505.1509288882</v>
      </c>
      <c r="K136" s="59">
        <f t="shared" si="34"/>
        <v>2073711.8549650894</v>
      </c>
      <c r="L136" s="59">
        <f t="shared" si="34"/>
        <v>2141042.5435863761</v>
      </c>
    </row>
    <row r="137" spans="2:12" outlineLevel="1" x14ac:dyDescent="0.25">
      <c r="B137" s="5"/>
      <c r="C137" s="60" t="s">
        <v>30</v>
      </c>
      <c r="D137" s="9" t="s">
        <v>6</v>
      </c>
      <c r="E137" s="35"/>
      <c r="F137" s="61">
        <f>+F136/F$125</f>
        <v>0.54037643207855979</v>
      </c>
      <c r="G137" s="61">
        <f t="shared" ref="G137:L137" si="35">+G136/G$125</f>
        <v>0.54849731820979519</v>
      </c>
      <c r="H137" s="61">
        <f t="shared" si="35"/>
        <v>0.55580085799092827</v>
      </c>
      <c r="I137" s="61">
        <f t="shared" si="35"/>
        <v>0.46810133201423682</v>
      </c>
      <c r="J137" s="61">
        <f t="shared" si="35"/>
        <v>0.5051820467875342</v>
      </c>
      <c r="K137" s="61">
        <f t="shared" si="35"/>
        <v>0.56786371368221478</v>
      </c>
      <c r="L137" s="61">
        <f t="shared" si="35"/>
        <v>0.57007820012215182</v>
      </c>
    </row>
    <row r="138" spans="2:12" outlineLevel="1" x14ac:dyDescent="0.25">
      <c r="B138" s="5"/>
      <c r="C138" s="5"/>
      <c r="D138" s="4"/>
      <c r="E138" s="35"/>
      <c r="F138" s="35"/>
      <c r="G138" s="35"/>
      <c r="H138" s="35"/>
      <c r="I138" s="35"/>
      <c r="J138" s="35"/>
      <c r="K138" s="35"/>
      <c r="L138" s="35"/>
    </row>
    <row r="139" spans="2:12" outlineLevel="1" x14ac:dyDescent="0.25">
      <c r="B139" s="5"/>
      <c r="C139" s="11" t="s">
        <v>69</v>
      </c>
      <c r="D139" s="9" t="s">
        <v>12</v>
      </c>
      <c r="E139" s="35"/>
      <c r="F139" s="35">
        <f>+F110</f>
        <v>0</v>
      </c>
      <c r="G139" s="35">
        <f t="shared" ref="G139:L139" si="36">+G110</f>
        <v>0</v>
      </c>
      <c r="H139" s="35">
        <f t="shared" si="36"/>
        <v>0</v>
      </c>
      <c r="I139" s="35">
        <f t="shared" si="36"/>
        <v>-266973.88800000009</v>
      </c>
      <c r="J139" s="35">
        <f t="shared" si="36"/>
        <v>-175933.76640000002</v>
      </c>
      <c r="K139" s="35">
        <f t="shared" si="36"/>
        <v>0</v>
      </c>
      <c r="L139" s="35">
        <f t="shared" si="36"/>
        <v>0</v>
      </c>
    </row>
    <row r="140" spans="2:12" outlineLevel="1" x14ac:dyDescent="0.25">
      <c r="B140" s="5"/>
      <c r="C140" s="11" t="s">
        <v>68</v>
      </c>
      <c r="D140" s="9" t="s">
        <v>12</v>
      </c>
      <c r="E140" s="35"/>
      <c r="F140" s="35">
        <f>MIN(-F139,E111-F133)</f>
        <v>0</v>
      </c>
      <c r="G140" s="35">
        <f t="shared" ref="G140:L140" si="37">MIN(-G139,F111-G133)</f>
        <v>0</v>
      </c>
      <c r="H140" s="35">
        <f t="shared" si="37"/>
        <v>0</v>
      </c>
      <c r="I140" s="35">
        <f t="shared" si="37"/>
        <v>266973.88800000009</v>
      </c>
      <c r="J140" s="35">
        <f t="shared" si="37"/>
        <v>127347.10012499991</v>
      </c>
      <c r="K140" s="35">
        <f t="shared" si="37"/>
        <v>0</v>
      </c>
      <c r="L140" s="35">
        <f t="shared" si="37"/>
        <v>0</v>
      </c>
    </row>
    <row r="141" spans="2:12" outlineLevel="1" x14ac:dyDescent="0.25"/>
    <row r="142" spans="2:12" outlineLevel="1" x14ac:dyDescent="0.25">
      <c r="B142" s="5"/>
      <c r="C142" s="2" t="s">
        <v>31</v>
      </c>
      <c r="D142" s="9" t="s">
        <v>12</v>
      </c>
      <c r="E142" s="35"/>
      <c r="F142" s="59">
        <f>+F136+SUM(F139:F140)</f>
        <v>1650850</v>
      </c>
      <c r="G142" s="59">
        <f t="shared" ref="G142:L142" si="38">+G136+SUM(G139:G140)</f>
        <v>1746656.8</v>
      </c>
      <c r="H142" s="59">
        <f t="shared" si="38"/>
        <v>1841994.0465000002</v>
      </c>
      <c r="I142" s="59">
        <f t="shared" si="38"/>
        <v>1309355.5809325008</v>
      </c>
      <c r="J142" s="59">
        <f t="shared" si="38"/>
        <v>1511918.484653888</v>
      </c>
      <c r="K142" s="59">
        <f t="shared" si="38"/>
        <v>2073711.8549650894</v>
      </c>
      <c r="L142" s="59">
        <f t="shared" si="38"/>
        <v>2141042.5435863761</v>
      </c>
    </row>
    <row r="143" spans="2:12" outlineLevel="1" x14ac:dyDescent="0.25">
      <c r="B143" s="5"/>
      <c r="C143" s="62" t="s">
        <v>44</v>
      </c>
      <c r="D143" s="9" t="s">
        <v>6</v>
      </c>
      <c r="E143" s="35"/>
      <c r="F143" s="61">
        <f>+F142/F$125</f>
        <v>0.54037643207855979</v>
      </c>
      <c r="G143" s="61">
        <f t="shared" ref="G143:L143" si="39">+G142/G$125</f>
        <v>0.54849731820979519</v>
      </c>
      <c r="H143" s="61">
        <f t="shared" si="39"/>
        <v>0.55580085799092827</v>
      </c>
      <c r="I143" s="61">
        <f t="shared" si="39"/>
        <v>0.46810133201423682</v>
      </c>
      <c r="J143" s="61">
        <f t="shared" si="39"/>
        <v>0.48945309421036581</v>
      </c>
      <c r="K143" s="61">
        <f t="shared" si="39"/>
        <v>0.56786371368221478</v>
      </c>
      <c r="L143" s="61">
        <f t="shared" si="39"/>
        <v>0.57007820012215182</v>
      </c>
    </row>
    <row r="144" spans="2:12" outlineLevel="1" x14ac:dyDescent="0.25">
      <c r="B144" s="5"/>
      <c r="C144" s="5"/>
      <c r="D144" s="4"/>
      <c r="E144" s="35"/>
      <c r="F144" s="35"/>
      <c r="G144" s="35"/>
      <c r="H144" s="35"/>
      <c r="I144" s="35"/>
      <c r="J144" s="35"/>
      <c r="K144" s="35"/>
    </row>
    <row r="145" spans="2:12" outlineLevel="1" x14ac:dyDescent="0.25">
      <c r="B145" s="5"/>
      <c r="C145" s="11" t="s">
        <v>125</v>
      </c>
      <c r="D145" s="9" t="s">
        <v>12</v>
      </c>
      <c r="E145" s="35"/>
      <c r="F145" s="35"/>
      <c r="G145" s="35">
        <f>IPMT(Senior_Loan_Interest_Rate,G113-$F113,Senior_Loan_Amort_Period,Senior_Loan)</f>
        <v>-625000</v>
      </c>
      <c r="H145" s="35">
        <f>IPMT(Senior_Loan_Interest_Rate,H113-$F113,Senior_Loan_Amort_Period,Senior_Loan)</f>
        <v>-611904.71418798144</v>
      </c>
      <c r="I145" s="35">
        <f>IPMT(Senior_Loan_Interest_Rate,I113-$F113,Senior_Loan_Amort_Period,Senior_Loan)</f>
        <v>-598154.66408536211</v>
      </c>
      <c r="J145" s="35">
        <f>IPMT(Senior_Loan_Interest_Rate,J113-$F113,Senior_Loan_Amort_Period,Senior_Loan)</f>
        <v>-583717.11147761182</v>
      </c>
      <c r="K145" s="35">
        <f>IPMT(Senior_Loan_Interest_Rate,K113-$F113,Senior_Loan_Amort_Period,Senior_Loan)</f>
        <v>-568557.68123947375</v>
      </c>
      <c r="L145" s="35"/>
    </row>
    <row r="146" spans="2:12" outlineLevel="1" x14ac:dyDescent="0.25">
      <c r="B146" s="5"/>
      <c r="C146" s="11" t="s">
        <v>126</v>
      </c>
      <c r="D146" s="9"/>
      <c r="E146" s="35"/>
      <c r="F146" s="35"/>
      <c r="G146" s="35">
        <f>-F154*Mezzanine_Cash_Interest</f>
        <v>-175000.00000000003</v>
      </c>
      <c r="H146" s="35">
        <f>-G154*Mezzanine_Cash_Interest</f>
        <v>-180250.00000000003</v>
      </c>
      <c r="I146" s="35">
        <f>-H154*Mezzanine_Cash_Interest</f>
        <v>-185657.50000000003</v>
      </c>
      <c r="J146" s="35">
        <f>-I154*Mezzanine_Cash_Interest</f>
        <v>-191227.22500000001</v>
      </c>
      <c r="K146" s="35">
        <f>-J154*Mezzanine_Cash_Interest</f>
        <v>-196964.04175</v>
      </c>
      <c r="L146" s="35"/>
    </row>
    <row r="147" spans="2:12" outlineLevel="1" x14ac:dyDescent="0.25">
      <c r="B147" s="5"/>
      <c r="C147" s="11" t="s">
        <v>127</v>
      </c>
      <c r="D147" s="9" t="s">
        <v>12</v>
      </c>
      <c r="E147" s="35"/>
      <c r="F147" s="35"/>
      <c r="G147" s="35">
        <f>PPMT(Senior_Loan_Interest_Rate,G113-$F113,Senior_Loan_Amort_Period,Senior_Loan)</f>
        <v>-261905.71624037024</v>
      </c>
      <c r="H147" s="35">
        <f>PPMT(Senior_Loan_Interest_Rate,H113-$F113,Senior_Loan_Amort_Period,Senior_Loan)</f>
        <v>-275001.00205238879</v>
      </c>
      <c r="I147" s="35">
        <f>PPMT(Senior_Loan_Interest_Rate,I113-$F113,Senior_Loan_Amort_Period,Senior_Loan)</f>
        <v>-288751.05215500825</v>
      </c>
      <c r="J147" s="35">
        <f>PPMT(Senior_Loan_Interest_Rate,J113-$F113,Senior_Loan_Amort_Period,Senior_Loan)</f>
        <v>-303188.60476275859</v>
      </c>
      <c r="K147" s="35">
        <f>PPMT(Senior_Loan_Interest_Rate,K113-$F113,Senior_Loan_Amort_Period,Senior_Loan)</f>
        <v>-318348.03500089655</v>
      </c>
      <c r="L147" s="35"/>
    </row>
    <row r="148" spans="2:12" outlineLevel="1" x14ac:dyDescent="0.25">
      <c r="G148" s="63"/>
      <c r="H148" s="63"/>
      <c r="I148" s="63"/>
      <c r="J148" s="63"/>
      <c r="K148" s="63"/>
      <c r="L148" s="63"/>
    </row>
    <row r="149" spans="2:12" outlineLevel="1" x14ac:dyDescent="0.25">
      <c r="C149" s="64" t="s">
        <v>32</v>
      </c>
      <c r="D149" s="9" t="s">
        <v>12</v>
      </c>
      <c r="F149" s="63"/>
      <c r="G149" s="65">
        <f>+G142+SUM(G145:G147)</f>
        <v>684751.08375962987</v>
      </c>
      <c r="H149" s="65">
        <f t="shared" ref="H149:K149" si="40">+H142+SUM(H145:H147)</f>
        <v>774838.33025962999</v>
      </c>
      <c r="I149" s="65">
        <f t="shared" si="40"/>
        <v>236792.36469213036</v>
      </c>
      <c r="J149" s="65">
        <f t="shared" si="40"/>
        <v>433785.54341351776</v>
      </c>
      <c r="K149" s="65">
        <f t="shared" si="40"/>
        <v>989842.09697471908</v>
      </c>
      <c r="L149" s="65"/>
    </row>
    <row r="150" spans="2:12" outlineLevel="1" x14ac:dyDescent="0.25"/>
    <row r="151" spans="2:12" outlineLevel="1" x14ac:dyDescent="0.25">
      <c r="C151" s="6" t="s">
        <v>130</v>
      </c>
      <c r="D151" s="9" t="s">
        <v>12</v>
      </c>
      <c r="G151" s="35">
        <f>-F154*Mezzanine_PIK_Interest</f>
        <v>-75000</v>
      </c>
      <c r="H151" s="35">
        <f>-G154*Mezzanine_PIK_Interest</f>
        <v>-77250</v>
      </c>
      <c r="I151" s="35">
        <f>-H154*Mezzanine_PIK_Interest</f>
        <v>-79567.5</v>
      </c>
      <c r="J151" s="35">
        <f>-I154*Mezzanine_PIK_Interest</f>
        <v>-81954.524999999994</v>
      </c>
      <c r="K151" s="35">
        <f>-J154*Mezzanine_PIK_Interest</f>
        <v>-84413.160749999995</v>
      </c>
      <c r="L151" s="35"/>
    </row>
    <row r="152" spans="2:12" outlineLevel="1" x14ac:dyDescent="0.25"/>
    <row r="153" spans="2:12" outlineLevel="1" x14ac:dyDescent="0.25">
      <c r="B153" s="5"/>
      <c r="C153" s="107" t="s">
        <v>132</v>
      </c>
      <c r="D153" s="9" t="s">
        <v>12</v>
      </c>
      <c r="E153" s="5"/>
      <c r="F153" s="35">
        <f>Senior_Loan</f>
        <v>12500000</v>
      </c>
      <c r="G153" s="35">
        <f>+F153+G147</f>
        <v>12238094.283759629</v>
      </c>
      <c r="H153" s="35">
        <f t="shared" ref="H153:K153" si="41">+G153+H147</f>
        <v>11963093.28170724</v>
      </c>
      <c r="I153" s="35">
        <f t="shared" si="41"/>
        <v>11674342.229552232</v>
      </c>
      <c r="J153" s="35">
        <f t="shared" si="41"/>
        <v>11371153.624789473</v>
      </c>
      <c r="K153" s="35">
        <f t="shared" si="41"/>
        <v>11052805.589788577</v>
      </c>
      <c r="L153" s="35"/>
    </row>
    <row r="154" spans="2:12" outlineLevel="1" x14ac:dyDescent="0.25">
      <c r="B154" s="5"/>
      <c r="C154" s="11" t="s">
        <v>133</v>
      </c>
      <c r="D154" s="57" t="s">
        <v>12</v>
      </c>
      <c r="E154" s="5"/>
      <c r="F154" s="35">
        <f>Mezzanine</f>
        <v>2500000</v>
      </c>
      <c r="G154" s="35">
        <f>+F154-G151</f>
        <v>2575000</v>
      </c>
      <c r="H154" s="35">
        <f t="shared" ref="H154:K154" si="42">+G154-H151</f>
        <v>2652250</v>
      </c>
      <c r="I154" s="35">
        <f t="shared" si="42"/>
        <v>2731817.5</v>
      </c>
      <c r="J154" s="35">
        <f t="shared" si="42"/>
        <v>2813772.0249999999</v>
      </c>
      <c r="K154" s="35">
        <f t="shared" si="42"/>
        <v>2898185.1857499997</v>
      </c>
      <c r="L154" s="35"/>
    </row>
    <row r="155" spans="2:12" outlineLevel="1" x14ac:dyDescent="0.25">
      <c r="B155" s="5"/>
      <c r="C155" s="71" t="s">
        <v>131</v>
      </c>
      <c r="D155" s="9" t="s">
        <v>12</v>
      </c>
      <c r="E155" s="72"/>
      <c r="F155" s="73">
        <f>SUM(F153:F154)</f>
        <v>15000000</v>
      </c>
      <c r="G155" s="73">
        <f>SUM(G153:G154)</f>
        <v>14813094.283759629</v>
      </c>
      <c r="H155" s="73">
        <f t="shared" ref="H155:K155" si="43">SUM(H153:H154)</f>
        <v>14615343.28170724</v>
      </c>
      <c r="I155" s="73">
        <f t="shared" si="43"/>
        <v>14406159.729552232</v>
      </c>
      <c r="J155" s="73">
        <f t="shared" si="43"/>
        <v>14184925.649789473</v>
      </c>
      <c r="K155" s="73">
        <f t="shared" si="43"/>
        <v>13950990.775538577</v>
      </c>
      <c r="L155" s="108"/>
    </row>
    <row r="156" spans="2:12" outlineLevel="1" x14ac:dyDescent="0.25">
      <c r="B156" s="5"/>
      <c r="C156" s="5"/>
      <c r="D156" s="4"/>
      <c r="E156" s="5"/>
      <c r="F156" s="5"/>
      <c r="G156" s="5"/>
      <c r="H156" s="5"/>
      <c r="I156" s="5"/>
      <c r="J156" s="5"/>
      <c r="K156" s="5"/>
    </row>
    <row r="157" spans="2:12" outlineLevel="1" x14ac:dyDescent="0.25">
      <c r="B157" s="5"/>
      <c r="C157" s="66" t="s">
        <v>74</v>
      </c>
      <c r="D157" s="9" t="s">
        <v>6</v>
      </c>
      <c r="E157" s="5"/>
      <c r="F157" s="5"/>
      <c r="G157" s="89">
        <f>+G136/(Senior_Loan+Mezzanine)</f>
        <v>0.11644378666666667</v>
      </c>
      <c r="H157" s="89">
        <f>+H136/(Senior_Loan+Mezzanine)</f>
        <v>0.12279960310000002</v>
      </c>
      <c r="I157" s="89">
        <f>+I136/(Senior_Loan+Mezzanine)</f>
        <v>8.7290372062166721E-2</v>
      </c>
      <c r="J157" s="89">
        <f>+J136/(Senior_Loan+Mezzanine)</f>
        <v>0.10403367672859255</v>
      </c>
      <c r="K157" s="89">
        <f>+K136/(Senior_Loan+Mezzanine)</f>
        <v>0.13824745699767263</v>
      </c>
      <c r="L157" s="89"/>
    </row>
    <row r="158" spans="2:12" outlineLevel="1" x14ac:dyDescent="0.25">
      <c r="B158" s="5"/>
      <c r="C158" s="5"/>
      <c r="D158" s="4"/>
      <c r="E158" s="5"/>
      <c r="F158" s="5"/>
      <c r="G158" s="5"/>
      <c r="H158" s="5"/>
      <c r="I158" s="5"/>
      <c r="J158" s="5"/>
      <c r="K158" s="5"/>
    </row>
    <row r="159" spans="2:12" outlineLevel="1" x14ac:dyDescent="0.25">
      <c r="B159" s="5"/>
      <c r="C159" s="66" t="s">
        <v>47</v>
      </c>
      <c r="D159" s="9" t="s">
        <v>33</v>
      </c>
      <c r="E159" s="5"/>
      <c r="F159" s="5"/>
      <c r="G159" s="67">
        <f>+G136/-SUM(G145:G146,G151)</f>
        <v>1.9961792</v>
      </c>
      <c r="H159" s="67">
        <f t="shared" ref="H159:K159" si="44">+H136/-SUM(H145:H146,H151)</f>
        <v>2.1186842174192844</v>
      </c>
      <c r="I159" s="67">
        <f t="shared" si="44"/>
        <v>1.5165467005985043</v>
      </c>
      <c r="J159" s="67">
        <f t="shared" si="44"/>
        <v>1.8211077422112545</v>
      </c>
      <c r="K159" s="67">
        <f t="shared" si="44"/>
        <v>2.4398479161619324</v>
      </c>
      <c r="L159" s="67"/>
    </row>
    <row r="160" spans="2:12" outlineLevel="1" x14ac:dyDescent="0.25">
      <c r="B160" s="5"/>
      <c r="C160" s="66" t="s">
        <v>48</v>
      </c>
      <c r="D160" s="9" t="s">
        <v>33</v>
      </c>
      <c r="E160" s="5"/>
      <c r="F160" s="5"/>
      <c r="G160" s="67">
        <f>+G142/-SUM(G145:G146,G151)</f>
        <v>1.9961792</v>
      </c>
      <c r="H160" s="67">
        <f t="shared" ref="H160:K160" si="45">+H142/-SUM(H145:H146,H151)</f>
        <v>2.1186842174192844</v>
      </c>
      <c r="I160" s="67">
        <f t="shared" si="45"/>
        <v>1.5165467005985043</v>
      </c>
      <c r="J160" s="67">
        <f t="shared" si="45"/>
        <v>1.7644071577441229</v>
      </c>
      <c r="K160" s="67">
        <f t="shared" si="45"/>
        <v>2.4398479161619324</v>
      </c>
      <c r="L160" s="67"/>
    </row>
    <row r="161" spans="2:13" outlineLevel="1" x14ac:dyDescent="0.25">
      <c r="B161" s="5"/>
      <c r="C161" s="5"/>
      <c r="D161" s="4"/>
      <c r="E161" s="5"/>
      <c r="F161" s="5"/>
      <c r="G161" s="5"/>
      <c r="H161" s="5"/>
      <c r="I161" s="5"/>
      <c r="J161" s="5"/>
      <c r="K161" s="5"/>
    </row>
    <row r="162" spans="2:13" outlineLevel="1" x14ac:dyDescent="0.25">
      <c r="B162" s="5"/>
      <c r="C162" s="66" t="s">
        <v>46</v>
      </c>
      <c r="D162" s="9" t="s">
        <v>33</v>
      </c>
      <c r="E162" s="5"/>
      <c r="F162" s="5"/>
      <c r="G162" s="67">
        <f>+G136/-SUM(G145:G147,G151)</f>
        <v>1.5363251103847149</v>
      </c>
      <c r="H162" s="67">
        <f t="shared" ref="H162:K162" si="46">+H136/-SUM(H145:H147,H151)</f>
        <v>1.6095638289464023</v>
      </c>
      <c r="I162" s="67">
        <f t="shared" si="46"/>
        <v>1.1364644327903921</v>
      </c>
      <c r="J162" s="67">
        <f t="shared" si="46"/>
        <v>1.3451616333604552</v>
      </c>
      <c r="K162" s="67">
        <f t="shared" si="46"/>
        <v>1.7750082807004852</v>
      </c>
      <c r="L162" s="67"/>
    </row>
    <row r="163" spans="2:13" outlineLevel="1" x14ac:dyDescent="0.25">
      <c r="B163" s="5"/>
      <c r="C163" s="66" t="s">
        <v>49</v>
      </c>
      <c r="D163" s="9" t="s">
        <v>33</v>
      </c>
      <c r="E163" s="5"/>
      <c r="F163" s="5"/>
      <c r="G163" s="67">
        <f>+G142/-SUM(G145:G147,G151)</f>
        <v>1.5363251103847149</v>
      </c>
      <c r="H163" s="67">
        <f t="shared" ref="H163:K163" si="47">+H142/-SUM(H145:H147,H151)</f>
        <v>1.6095638289464023</v>
      </c>
      <c r="I163" s="67">
        <f t="shared" si="47"/>
        <v>1.1364644327903921</v>
      </c>
      <c r="J163" s="67">
        <f t="shared" si="47"/>
        <v>1.3032797342029194</v>
      </c>
      <c r="K163" s="67">
        <f t="shared" si="47"/>
        <v>1.7750082807004852</v>
      </c>
      <c r="L163" s="67"/>
    </row>
    <row r="164" spans="2:13" x14ac:dyDescent="0.25">
      <c r="B164" s="5"/>
      <c r="C164" s="5"/>
      <c r="D164" s="4"/>
      <c r="E164" s="5"/>
      <c r="F164" s="5"/>
      <c r="G164" s="5"/>
      <c r="H164" s="5"/>
      <c r="I164" s="5"/>
      <c r="J164" s="5"/>
      <c r="K164" s="5"/>
    </row>
    <row r="165" spans="2:13" x14ac:dyDescent="0.25">
      <c r="B165" s="39"/>
      <c r="C165" s="39"/>
      <c r="D165" s="40"/>
      <c r="E165" s="39"/>
      <c r="F165" s="41" t="str">
        <f>+$F$54</f>
        <v>Historical:</v>
      </c>
      <c r="G165" s="42" t="str">
        <f>+$G$54</f>
        <v>Projected:</v>
      </c>
      <c r="H165" s="43"/>
      <c r="I165" s="43"/>
      <c r="J165" s="43"/>
      <c r="K165" s="43"/>
    </row>
    <row r="166" spans="2:13" x14ac:dyDescent="0.25">
      <c r="B166" s="7" t="s">
        <v>38</v>
      </c>
      <c r="C166" s="7"/>
      <c r="D166" s="8" t="str">
        <f>+$D$5</f>
        <v>Units:</v>
      </c>
      <c r="E166" s="7"/>
      <c r="F166" s="54">
        <f>+$F$55</f>
        <v>43100</v>
      </c>
      <c r="G166" s="46">
        <f>+$G$55</f>
        <v>43465</v>
      </c>
      <c r="H166" s="45">
        <f>+$H$55</f>
        <v>43830</v>
      </c>
      <c r="I166" s="45">
        <f>+$I$55</f>
        <v>44196</v>
      </c>
      <c r="J166" s="45">
        <f>+$J$55</f>
        <v>44561</v>
      </c>
      <c r="K166" s="45">
        <f>+$K$55</f>
        <v>44926</v>
      </c>
    </row>
    <row r="167" spans="2:13" outlineLevel="1" x14ac:dyDescent="0.25">
      <c r="B167" s="5"/>
      <c r="C167" s="5"/>
      <c r="D167" s="4"/>
      <c r="E167" s="5"/>
      <c r="F167" s="55"/>
      <c r="G167" s="55"/>
      <c r="H167" s="35"/>
      <c r="I167" s="35"/>
      <c r="J167" s="35"/>
      <c r="K167" s="35"/>
      <c r="M167" s="114"/>
    </row>
    <row r="168" spans="2:13" outlineLevel="1" x14ac:dyDescent="0.25">
      <c r="B168" s="5"/>
      <c r="C168" s="68" t="s">
        <v>50</v>
      </c>
      <c r="D168" s="4"/>
      <c r="E168" s="5"/>
      <c r="F168" s="35"/>
      <c r="G168" s="35"/>
      <c r="H168" s="35"/>
      <c r="I168" s="35"/>
      <c r="J168" s="35"/>
      <c r="K168" s="35"/>
    </row>
    <row r="169" spans="2:13" outlineLevel="1" x14ac:dyDescent="0.25">
      <c r="B169" s="5"/>
      <c r="C169" s="47" t="s">
        <v>86</v>
      </c>
      <c r="D169" s="9" t="s">
        <v>12</v>
      </c>
      <c r="E169" s="5"/>
      <c r="F169" s="35"/>
      <c r="G169" s="87">
        <v>0</v>
      </c>
      <c r="H169" s="87">
        <v>0</v>
      </c>
      <c r="I169" s="87">
        <v>0</v>
      </c>
      <c r="J169" s="87">
        <v>0</v>
      </c>
      <c r="K169" s="35">
        <f>+Exit_Price</f>
        <v>35684042.393106267</v>
      </c>
    </row>
    <row r="170" spans="2:13" outlineLevel="1" x14ac:dyDescent="0.25">
      <c r="B170" s="5"/>
      <c r="C170" s="11" t="s">
        <v>87</v>
      </c>
      <c r="D170" s="9" t="s">
        <v>12</v>
      </c>
      <c r="E170" s="35"/>
      <c r="F170" s="87"/>
      <c r="G170" s="87">
        <v>0</v>
      </c>
      <c r="H170" s="87">
        <v>0</v>
      </c>
      <c r="I170" s="87">
        <v>0</v>
      </c>
      <c r="J170" s="87">
        <v>0</v>
      </c>
      <c r="K170" s="35">
        <f>-Exit_Price*Exit_Fee_Pct</f>
        <v>-535260.63589659403</v>
      </c>
      <c r="L170" s="35"/>
    </row>
    <row r="171" spans="2:13" outlineLevel="1" x14ac:dyDescent="0.25">
      <c r="B171" s="5"/>
      <c r="C171" s="47" t="s">
        <v>70</v>
      </c>
      <c r="D171" s="9" t="s">
        <v>12</v>
      </c>
      <c r="E171" s="5"/>
      <c r="F171" s="35"/>
      <c r="G171" s="35">
        <f>+G142</f>
        <v>1746656.8</v>
      </c>
      <c r="H171" s="35">
        <f t="shared" ref="H171:K171" si="48">+H142</f>
        <v>1841994.0465000002</v>
      </c>
      <c r="I171" s="35">
        <f t="shared" si="48"/>
        <v>1309355.5809325008</v>
      </c>
      <c r="J171" s="35">
        <f t="shared" si="48"/>
        <v>1511918.484653888</v>
      </c>
      <c r="K171" s="35">
        <f t="shared" si="48"/>
        <v>2073711.8549650894</v>
      </c>
    </row>
    <row r="172" spans="2:13" outlineLevel="1" x14ac:dyDescent="0.25">
      <c r="B172" s="5"/>
      <c r="C172" s="47" t="s">
        <v>88</v>
      </c>
      <c r="D172" s="57" t="s">
        <v>12</v>
      </c>
      <c r="E172" s="5"/>
      <c r="F172" s="35">
        <f>-Entry_Price*(1+Entry_Fee_Pct)-K51</f>
        <v>-25312500</v>
      </c>
      <c r="G172" s="69">
        <v>0</v>
      </c>
      <c r="H172" s="70">
        <v>0</v>
      </c>
      <c r="I172" s="70">
        <v>0</v>
      </c>
      <c r="J172" s="70">
        <v>0</v>
      </c>
      <c r="K172" s="70">
        <v>0</v>
      </c>
    </row>
    <row r="173" spans="2:13" outlineLevel="1" x14ac:dyDescent="0.25">
      <c r="B173" s="5"/>
      <c r="C173" s="71" t="s">
        <v>53</v>
      </c>
      <c r="D173" s="9" t="s">
        <v>12</v>
      </c>
      <c r="E173" s="72"/>
      <c r="F173" s="73">
        <f>SUM(F169:F172)</f>
        <v>-25312500</v>
      </c>
      <c r="G173" s="73">
        <f t="shared" ref="G173:K173" si="49">SUM(G169:G172)</f>
        <v>1746656.8</v>
      </c>
      <c r="H173" s="73">
        <f t="shared" si="49"/>
        <v>1841994.0465000002</v>
      </c>
      <c r="I173" s="73">
        <f t="shared" si="49"/>
        <v>1309355.5809325008</v>
      </c>
      <c r="J173" s="73">
        <f t="shared" si="49"/>
        <v>1511918.484653888</v>
      </c>
      <c r="K173" s="73">
        <f t="shared" si="49"/>
        <v>37222493.612174764</v>
      </c>
    </row>
    <row r="174" spans="2:13" outlineLevel="1" x14ac:dyDescent="0.25">
      <c r="B174" s="5"/>
      <c r="C174" s="5"/>
      <c r="D174" s="4"/>
      <c r="E174" s="5"/>
      <c r="F174" s="35"/>
      <c r="G174" s="35"/>
      <c r="H174" s="35"/>
      <c r="I174" s="35"/>
      <c r="J174" s="35"/>
      <c r="K174" s="35"/>
    </row>
    <row r="175" spans="2:13" outlineLevel="1" x14ac:dyDescent="0.25">
      <c r="B175" s="5"/>
      <c r="C175" s="74" t="s">
        <v>51</v>
      </c>
      <c r="D175" s="75" t="s">
        <v>6</v>
      </c>
      <c r="E175" s="76"/>
      <c r="F175" s="112">
        <f>IRR(F173:K173)</f>
        <v>0.12712629459579383</v>
      </c>
      <c r="G175" s="35"/>
      <c r="H175" s="35"/>
      <c r="I175" s="35"/>
      <c r="J175" s="35"/>
      <c r="K175" s="35"/>
    </row>
    <row r="176" spans="2:13" outlineLevel="1" x14ac:dyDescent="0.25">
      <c r="B176" s="5"/>
      <c r="C176" s="5"/>
      <c r="D176" s="4"/>
      <c r="E176" s="5"/>
      <c r="F176" s="77"/>
      <c r="G176" s="35"/>
      <c r="H176" s="35"/>
      <c r="I176" s="35"/>
      <c r="J176" s="35"/>
      <c r="K176" s="35"/>
    </row>
    <row r="177" spans="2:11" outlineLevel="1" x14ac:dyDescent="0.25">
      <c r="B177" s="5"/>
      <c r="C177" s="78" t="s">
        <v>56</v>
      </c>
      <c r="D177" s="9" t="s">
        <v>12</v>
      </c>
      <c r="E177" s="5"/>
      <c r="F177" s="35">
        <f>SUM(F169:K171)</f>
        <v>43632418.524261147</v>
      </c>
      <c r="G177" s="35"/>
      <c r="H177" s="35"/>
      <c r="I177" s="35"/>
      <c r="J177" s="35"/>
      <c r="K177" s="35"/>
    </row>
    <row r="178" spans="2:11" outlineLevel="1" x14ac:dyDescent="0.25">
      <c r="B178" s="5"/>
      <c r="C178" s="78" t="s">
        <v>59</v>
      </c>
      <c r="D178" s="9" t="s">
        <v>12</v>
      </c>
      <c r="E178" s="5"/>
      <c r="F178" s="35">
        <f>-SUM(F172:K172)</f>
        <v>25312500</v>
      </c>
      <c r="G178" s="35"/>
      <c r="H178" s="35"/>
      <c r="I178" s="35"/>
      <c r="J178" s="35"/>
      <c r="K178" s="35"/>
    </row>
    <row r="179" spans="2:11" outlineLevel="1" x14ac:dyDescent="0.25">
      <c r="B179" s="5"/>
      <c r="C179" s="78" t="s">
        <v>40</v>
      </c>
      <c r="D179" s="9" t="s">
        <v>33</v>
      </c>
      <c r="E179" s="5"/>
      <c r="F179" s="113">
        <f>+F177/F178</f>
        <v>1.7237498676251317</v>
      </c>
      <c r="G179" s="35"/>
      <c r="H179" s="35"/>
      <c r="I179" s="35"/>
      <c r="J179" s="35"/>
      <c r="K179" s="35"/>
    </row>
    <row r="180" spans="2:11" outlineLevel="1" x14ac:dyDescent="0.25">
      <c r="B180" s="5"/>
      <c r="C180" s="5"/>
      <c r="D180" s="4"/>
      <c r="E180" s="5"/>
      <c r="F180" s="35"/>
      <c r="G180" s="35"/>
      <c r="H180" s="35"/>
      <c r="I180" s="35"/>
      <c r="J180" s="35"/>
      <c r="K180" s="35"/>
    </row>
    <row r="181" spans="2:11" outlineLevel="1" x14ac:dyDescent="0.25">
      <c r="B181" s="5"/>
      <c r="C181" s="2" t="s">
        <v>54</v>
      </c>
      <c r="D181" s="4"/>
      <c r="E181" s="35"/>
      <c r="F181" s="35"/>
      <c r="G181" s="35"/>
      <c r="H181" s="35"/>
      <c r="I181" s="35"/>
      <c r="J181" s="35"/>
      <c r="K181" s="35"/>
    </row>
    <row r="182" spans="2:11" outlineLevel="1" x14ac:dyDescent="0.25">
      <c r="B182" s="5"/>
      <c r="C182" s="47" t="s">
        <v>86</v>
      </c>
      <c r="D182" s="9" t="s">
        <v>12</v>
      </c>
      <c r="E182" s="35"/>
      <c r="F182" s="36"/>
      <c r="G182" s="90">
        <f>+G169</f>
        <v>0</v>
      </c>
      <c r="H182" s="90">
        <f t="shared" ref="H182:K182" si="50">+H169</f>
        <v>0</v>
      </c>
      <c r="I182" s="90">
        <f t="shared" si="50"/>
        <v>0</v>
      </c>
      <c r="J182" s="90">
        <f t="shared" si="50"/>
        <v>0</v>
      </c>
      <c r="K182" s="90">
        <f t="shared" si="50"/>
        <v>35684042.393106267</v>
      </c>
    </row>
    <row r="183" spans="2:11" outlineLevel="1" x14ac:dyDescent="0.25">
      <c r="B183" s="5"/>
      <c r="C183" s="11" t="s">
        <v>87</v>
      </c>
      <c r="D183" s="9" t="s">
        <v>12</v>
      </c>
      <c r="E183" s="35"/>
      <c r="F183" s="90"/>
      <c r="G183" s="90">
        <f t="shared" ref="G183:K183" si="51">+G170</f>
        <v>0</v>
      </c>
      <c r="H183" s="90">
        <f t="shared" si="51"/>
        <v>0</v>
      </c>
      <c r="I183" s="90">
        <f t="shared" si="51"/>
        <v>0</v>
      </c>
      <c r="J183" s="90">
        <f t="shared" si="51"/>
        <v>0</v>
      </c>
      <c r="K183" s="90">
        <f t="shared" si="51"/>
        <v>-535260.63589659403</v>
      </c>
    </row>
    <row r="184" spans="2:11" outlineLevel="1" x14ac:dyDescent="0.25">
      <c r="B184" s="5"/>
      <c r="C184" s="47" t="s">
        <v>71</v>
      </c>
      <c r="D184" s="9" t="s">
        <v>12</v>
      </c>
      <c r="E184" s="35"/>
      <c r="F184" s="36"/>
      <c r="G184" s="36">
        <f>+G149</f>
        <v>684751.08375962987</v>
      </c>
      <c r="H184" s="36">
        <f t="shared" ref="H184:K184" si="52">+H149</f>
        <v>774838.33025962999</v>
      </c>
      <c r="I184" s="36">
        <f t="shared" si="52"/>
        <v>236792.36469213036</v>
      </c>
      <c r="J184" s="36">
        <f t="shared" si="52"/>
        <v>433785.54341351776</v>
      </c>
      <c r="K184" s="36">
        <f t="shared" si="52"/>
        <v>989842.09697471908</v>
      </c>
    </row>
    <row r="185" spans="2:11" outlineLevel="1" x14ac:dyDescent="0.25">
      <c r="B185" s="5"/>
      <c r="C185" s="47" t="s">
        <v>73</v>
      </c>
      <c r="D185" s="9" t="s">
        <v>12</v>
      </c>
      <c r="E185" s="35"/>
      <c r="F185" s="36"/>
      <c r="G185" s="88">
        <v>0</v>
      </c>
      <c r="H185" s="88">
        <v>0</v>
      </c>
      <c r="I185" s="88">
        <v>0</v>
      </c>
      <c r="J185" s="88">
        <v>0</v>
      </c>
      <c r="K185" s="36">
        <f>-K155</f>
        <v>-13950990.775538577</v>
      </c>
    </row>
    <row r="186" spans="2:11" outlineLevel="1" x14ac:dyDescent="0.25">
      <c r="B186" s="5"/>
      <c r="C186" s="47" t="s">
        <v>72</v>
      </c>
      <c r="D186" s="57" t="s">
        <v>12</v>
      </c>
      <c r="E186" s="35"/>
      <c r="F186" s="35">
        <f>-(OP_Equity+LP_Equity)</f>
        <v>-10537500</v>
      </c>
      <c r="G186" s="69">
        <v>0</v>
      </c>
      <c r="H186" s="69">
        <v>0</v>
      </c>
      <c r="I186" s="69">
        <v>0</v>
      </c>
      <c r="J186" s="69">
        <v>0</v>
      </c>
      <c r="K186" s="69">
        <v>0</v>
      </c>
    </row>
    <row r="187" spans="2:11" outlineLevel="1" x14ac:dyDescent="0.25">
      <c r="B187" s="5"/>
      <c r="C187" s="58" t="s">
        <v>55</v>
      </c>
      <c r="D187" s="9" t="s">
        <v>12</v>
      </c>
      <c r="E187" s="55"/>
      <c r="F187" s="73">
        <f>SUM(F182:F186)</f>
        <v>-10537500</v>
      </c>
      <c r="G187" s="73">
        <f t="shared" ref="G187:K187" si="53">SUM(G182:G186)</f>
        <v>684751.08375962987</v>
      </c>
      <c r="H187" s="73">
        <f t="shared" si="53"/>
        <v>774838.33025962999</v>
      </c>
      <c r="I187" s="73">
        <f t="shared" si="53"/>
        <v>236792.36469213036</v>
      </c>
      <c r="J187" s="73">
        <f t="shared" si="53"/>
        <v>433785.54341351776</v>
      </c>
      <c r="K187" s="73">
        <f t="shared" si="53"/>
        <v>22187633.07864581</v>
      </c>
    </row>
    <row r="188" spans="2:11" outlineLevel="1" x14ac:dyDescent="0.25">
      <c r="B188" s="5"/>
      <c r="C188" s="5"/>
      <c r="D188" s="4"/>
      <c r="E188" s="5"/>
      <c r="F188" s="34"/>
      <c r="G188" s="35"/>
      <c r="H188" s="35"/>
      <c r="I188" s="35"/>
      <c r="J188" s="35"/>
      <c r="K188" s="35"/>
    </row>
    <row r="189" spans="2:11" outlineLevel="1" x14ac:dyDescent="0.25">
      <c r="B189" s="5"/>
      <c r="C189" s="74" t="s">
        <v>52</v>
      </c>
      <c r="D189" s="75" t="s">
        <v>6</v>
      </c>
      <c r="E189" s="76"/>
      <c r="F189" s="112">
        <f>IRR(F187:K187)</f>
        <v>0.19585041486224064</v>
      </c>
      <c r="G189" s="35"/>
      <c r="H189" s="35"/>
      <c r="I189" s="35"/>
      <c r="J189" s="35"/>
      <c r="K189" s="35"/>
    </row>
    <row r="190" spans="2:11" outlineLevel="1" x14ac:dyDescent="0.25">
      <c r="B190" s="3"/>
      <c r="C190" s="3"/>
      <c r="D190" s="56"/>
      <c r="E190" s="3"/>
      <c r="F190" s="3"/>
      <c r="G190" s="3"/>
      <c r="H190" s="3"/>
      <c r="I190" s="3"/>
      <c r="J190" s="3"/>
      <c r="K190" s="3"/>
    </row>
    <row r="191" spans="2:11" outlineLevel="1" x14ac:dyDescent="0.25">
      <c r="B191" s="3"/>
      <c r="C191" s="78" t="s">
        <v>57</v>
      </c>
      <c r="D191" s="9" t="s">
        <v>12</v>
      </c>
      <c r="E191" s="3"/>
      <c r="F191" s="35">
        <f>SUM(F182:K185)</f>
        <v>24317800.400770716</v>
      </c>
      <c r="G191" s="3"/>
      <c r="H191" s="3"/>
      <c r="I191" s="3"/>
      <c r="J191" s="3"/>
      <c r="K191" s="3"/>
    </row>
    <row r="192" spans="2:11" outlineLevel="1" x14ac:dyDescent="0.25">
      <c r="B192" s="3"/>
      <c r="C192" s="78" t="s">
        <v>39</v>
      </c>
      <c r="D192" s="9" t="s">
        <v>12</v>
      </c>
      <c r="E192" s="3"/>
      <c r="F192" s="35">
        <f>-SUM(F186:K186)</f>
        <v>10537500</v>
      </c>
      <c r="G192" s="3"/>
      <c r="H192" s="3"/>
      <c r="I192" s="3"/>
      <c r="J192" s="3"/>
      <c r="K192" s="3"/>
    </row>
    <row r="193" spans="2:13" outlineLevel="1" x14ac:dyDescent="0.25">
      <c r="B193" s="3"/>
      <c r="C193" s="78" t="s">
        <v>40</v>
      </c>
      <c r="D193" s="9" t="s">
        <v>33</v>
      </c>
      <c r="E193" s="3"/>
      <c r="F193" s="113">
        <f>+F191/F192</f>
        <v>2.3077390653163197</v>
      </c>
      <c r="G193" s="3"/>
      <c r="H193" s="3"/>
      <c r="I193" s="3"/>
      <c r="J193" s="3"/>
      <c r="K193" s="3"/>
    </row>
    <row r="195" spans="2:13" x14ac:dyDescent="0.25">
      <c r="G195" s="91"/>
      <c r="H195" s="91"/>
      <c r="I195" s="91"/>
      <c r="J195" s="91"/>
      <c r="K195" s="91"/>
      <c r="M195" s="115"/>
    </row>
  </sheetData>
  <pageMargins left="0.7" right="0.7" top="0.75" bottom="0.75" header="0.3" footer="0.3"/>
  <pageSetup scale="34" orientation="portrait" r:id="rId1"/>
  <rowBreaks count="4" manualBreakCount="4">
    <brk id="53" max="12" man="1"/>
    <brk id="114" max="12" man="1"/>
    <brk id="164" max="12" man="1"/>
    <brk id="194" max="12" man="1"/>
  </rowBreaks>
  <ignoredErrors>
    <ignoredError sqref="K23 G71:L71 G84:L84 G99:L99 E25 E27 K26:K27 E43" unlockedFormula="1"/>
    <ignoredError sqref="J93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Office-Retail-Pro-Forma</vt:lpstr>
      <vt:lpstr>Asset_Mgmt_Fee</vt:lpstr>
      <vt:lpstr>CAM_Growth</vt:lpstr>
      <vt:lpstr>CAM_per_SF</vt:lpstr>
      <vt:lpstr>Down_Months</vt:lpstr>
      <vt:lpstr>Entry_Fee_Pct</vt:lpstr>
      <vt:lpstr>Entry_Price</vt:lpstr>
      <vt:lpstr>Exit_Cap_Rate</vt:lpstr>
      <vt:lpstr>Exit_Fee_Pct</vt:lpstr>
      <vt:lpstr>Exit_Price</vt:lpstr>
      <vt:lpstr>GP_Name</vt:lpstr>
      <vt:lpstr>Insurance_Growth</vt:lpstr>
      <vt:lpstr>Insurance_per_SF</vt:lpstr>
      <vt:lpstr>IRR_Hurdle</vt:lpstr>
      <vt:lpstr>Loan_Fees</vt:lpstr>
      <vt:lpstr>LP_Equity</vt:lpstr>
      <vt:lpstr>LP_Equity_Pct</vt:lpstr>
      <vt:lpstr>Mezzanine</vt:lpstr>
      <vt:lpstr>Mezzanine_Cash_Interest</vt:lpstr>
      <vt:lpstr>Mezzanine_LTV</vt:lpstr>
      <vt:lpstr>Mezzanine_PIK_Interest</vt:lpstr>
      <vt:lpstr>Months</vt:lpstr>
      <vt:lpstr>New_Free_Rent_Months</vt:lpstr>
      <vt:lpstr>New_LC_Pct</vt:lpstr>
      <vt:lpstr>New_Lease_Years</vt:lpstr>
      <vt:lpstr>New_TIs</vt:lpstr>
      <vt:lpstr>OP_Equity</vt:lpstr>
      <vt:lpstr>Op_Equity_Pct</vt:lpstr>
      <vt:lpstr>Op_Partner_Promote</vt:lpstr>
      <vt:lpstr>Op_Partner_Split_Below_Hurdle</vt:lpstr>
      <vt:lpstr>'Office-Retail-Pro-Forma'!Print_Area</vt:lpstr>
      <vt:lpstr>Prop_Mgmt_Fees</vt:lpstr>
      <vt:lpstr>Property_Name</vt:lpstr>
      <vt:lpstr>RE_Taxes_Growth_Rate</vt:lpstr>
      <vt:lpstr>RE_Taxes_Pct_Property_Value</vt:lpstr>
      <vt:lpstr>Renewal_Free_Rent_Months</vt:lpstr>
      <vt:lpstr>Renewal_LC_Pct</vt:lpstr>
      <vt:lpstr>Renewal_Probability</vt:lpstr>
      <vt:lpstr>Renewal_TIs</vt:lpstr>
      <vt:lpstr>Rentable_SF</vt:lpstr>
      <vt:lpstr>Reserve_Growth_Rate</vt:lpstr>
      <vt:lpstr>Reserve_per_SF</vt:lpstr>
      <vt:lpstr>Sale_Date</vt:lpstr>
      <vt:lpstr>Senior_Loan</vt:lpstr>
      <vt:lpstr>Senior_Loan_Amort_Period</vt:lpstr>
      <vt:lpstr>Senior_Loan_Interest_Rate</vt:lpstr>
      <vt:lpstr>Senior_Loan_Term</vt:lpstr>
      <vt:lpstr>Senior_LTV</vt:lpstr>
      <vt:lpstr>Start_Date</vt:lpstr>
      <vt:lpstr>Utilities_Growth</vt:lpstr>
      <vt:lpstr>Utilities_per_SF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BIWS</dc:creator>
  <cp:lastModifiedBy>BIWS</cp:lastModifiedBy>
  <dcterms:created xsi:type="dcterms:W3CDTF">2015-04-15T02:33:42Z</dcterms:created>
  <dcterms:modified xsi:type="dcterms:W3CDTF">2019-02-06T07:23:46Z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gmt_Fees" linkTarget="Prop_Mgmt_Fees">
    <vt:r8>0.03</vt:r8>
  </property>
</Properties>
</file>