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WS Dropbox\Brian DeChesare\BIWS-All-Courses\100-Bonus-Case-Studies\DCM-LevFin\Risk-Free-Rate\"/>
    </mc:Choice>
  </mc:AlternateContent>
  <xr:revisionPtr revIDLastSave="0" documentId="13_ncr:1_{623260BD-90D4-4955-8003-E1DDD52B3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ds" sheetId="19" r:id="rId1"/>
  </sheets>
  <definedNames>
    <definedName name="Bond_Par_Value">Bonds!$G$22</definedName>
    <definedName name="Bond_Price">Bonds!$G$24</definedName>
    <definedName name="Bond_Redemption_Pct">Bonds!$G$23</definedName>
    <definedName name="CIQWBGuid" hidden="1">"fedf60f8-2cd9-49ba-9fee-91fc372c3a0f"</definedName>
    <definedName name="Coupon_Rate">Bonds!$G$10</definedName>
    <definedName name="Discount_Rate">Bonds!$G$7</definedName>
    <definedName name="Exit_Date">Bonds!$G$14</definedName>
    <definedName name="Exit_First">Bonds!$G$16</definedName>
    <definedName name="Frequency">Bonds!$G$18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"08/30/2015 13:55:30"</definedName>
    <definedName name="IQ_QTD" hidden="1">750000</definedName>
    <definedName name="IQ_TODAY" hidden="1">0</definedName>
    <definedName name="IQ_YTDMONTH" hidden="1">130000</definedName>
    <definedName name="Maturity_Date">Bonds!$G$13</definedName>
    <definedName name="Num_Years">Bonds!$G$11</definedName>
    <definedName name="_xlnm.Print_Area" localSheetId="0">Bonds!$A$1:$AD$33</definedName>
    <definedName name="Purchase_Date">Bonds!$G$9</definedName>
    <definedName name="YTM">Bonds!$L$14</definedName>
  </definedNames>
  <calcPr calcId="191029" calcMode="autoNoTable"/>
  <webPublishing vml="1" allowPng="1" targetScreenSize="1920x1200" dpi="120" codePage="1252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9" l="1"/>
  <c r="L18" i="19"/>
  <c r="G37" i="19"/>
  <c r="H37" i="19"/>
  <c r="I37" i="19"/>
  <c r="I40" i="19" s="1"/>
  <c r="J37" i="19"/>
  <c r="J40" i="19" s="1"/>
  <c r="K37" i="19"/>
  <c r="L37" i="19"/>
  <c r="M37" i="19"/>
  <c r="N37" i="19"/>
  <c r="O37" i="19"/>
  <c r="P37" i="19"/>
  <c r="Q37" i="19"/>
  <c r="R37" i="19"/>
  <c r="R40" i="19" s="1"/>
  <c r="S37" i="19"/>
  <c r="T37" i="19"/>
  <c r="U37" i="19"/>
  <c r="U40" i="19" s="1"/>
  <c r="V37" i="19"/>
  <c r="V40" i="19" s="1"/>
  <c r="W37" i="19"/>
  <c r="W40" i="19" s="1"/>
  <c r="X37" i="19"/>
  <c r="Y37" i="19"/>
  <c r="Z37" i="19"/>
  <c r="AA37" i="19"/>
  <c r="AB37" i="19"/>
  <c r="AC37" i="19"/>
  <c r="G38" i="19"/>
  <c r="H38" i="19"/>
  <c r="I38" i="19"/>
  <c r="J38" i="19"/>
  <c r="K38" i="19"/>
  <c r="L38" i="19"/>
  <c r="L40" i="19" s="1"/>
  <c r="M38" i="19"/>
  <c r="N38" i="19"/>
  <c r="O38" i="19"/>
  <c r="P38" i="19"/>
  <c r="Q38" i="19"/>
  <c r="R38" i="19"/>
  <c r="S38" i="19"/>
  <c r="T38" i="19"/>
  <c r="U38" i="19"/>
  <c r="V38" i="19"/>
  <c r="W38" i="19"/>
  <c r="X38" i="19"/>
  <c r="X40" i="19" s="1"/>
  <c r="Y38" i="19"/>
  <c r="Z38" i="19"/>
  <c r="AA38" i="19"/>
  <c r="AA40" i="19" s="1"/>
  <c r="AB38" i="19"/>
  <c r="AC38" i="19"/>
  <c r="G39" i="19"/>
  <c r="H39" i="19"/>
  <c r="I39" i="19"/>
  <c r="J39" i="19"/>
  <c r="K39" i="19"/>
  <c r="L39" i="19"/>
  <c r="M39" i="19"/>
  <c r="M40" i="19" s="1"/>
  <c r="N39" i="19"/>
  <c r="N40" i="19" s="1"/>
  <c r="O39" i="19"/>
  <c r="P39" i="19"/>
  <c r="P40" i="19" s="1"/>
  <c r="Q39" i="19"/>
  <c r="R39" i="19"/>
  <c r="S39" i="19"/>
  <c r="T39" i="19"/>
  <c r="U39" i="19"/>
  <c r="V39" i="19"/>
  <c r="W39" i="19"/>
  <c r="X39" i="19"/>
  <c r="Y39" i="19"/>
  <c r="Y40" i="19" s="1"/>
  <c r="Z39" i="19"/>
  <c r="Z40" i="19" s="1"/>
  <c r="AA39" i="19"/>
  <c r="AB39" i="19"/>
  <c r="AB40" i="19" s="1"/>
  <c r="AC39" i="19"/>
  <c r="AC40" i="19" s="1"/>
  <c r="Q40" i="19"/>
  <c r="S40" i="19"/>
  <c r="F39" i="19"/>
  <c r="F40" i="19" s="1"/>
  <c r="F38" i="19"/>
  <c r="F37" i="19"/>
  <c r="L13" i="19"/>
  <c r="L12" i="19"/>
  <c r="K40" i="19" l="1"/>
  <c r="L15" i="19"/>
  <c r="O40" i="19"/>
  <c r="T40" i="19"/>
  <c r="H40" i="19"/>
  <c r="G40" i="19"/>
  <c r="G13" i="19" l="1"/>
  <c r="G16" i="19" s="1"/>
  <c r="G24" i="19" s="1"/>
  <c r="C40" i="19"/>
  <c r="C39" i="19"/>
  <c r="C38" i="19"/>
  <c r="C37" i="19"/>
  <c r="G34" i="19"/>
  <c r="F34" i="19"/>
  <c r="C35" i="19"/>
  <c r="F27" i="19" l="1"/>
  <c r="F35" i="19" s="1"/>
  <c r="F31" i="19" l="1"/>
  <c r="F30" i="19"/>
  <c r="F29" i="19"/>
  <c r="G27" i="19"/>
  <c r="G31" i="19" l="1"/>
  <c r="G35" i="19"/>
  <c r="G30" i="19"/>
  <c r="G29" i="19"/>
  <c r="H27" i="19"/>
  <c r="H31" i="19" l="1"/>
  <c r="H35" i="19"/>
  <c r="H30" i="19"/>
  <c r="H29" i="19"/>
  <c r="G32" i="19"/>
  <c r="I27" i="19"/>
  <c r="I31" i="19" l="1"/>
  <c r="I35" i="19"/>
  <c r="I30" i="19"/>
  <c r="I29" i="19"/>
  <c r="J27" i="19"/>
  <c r="H32" i="19"/>
  <c r="J31" i="19" l="1"/>
  <c r="J35" i="19"/>
  <c r="J30" i="19"/>
  <c r="J29" i="19"/>
  <c r="K27" i="19"/>
  <c r="K31" i="19" l="1"/>
  <c r="L27" i="19"/>
  <c r="L35" i="19" s="1"/>
  <c r="K35" i="19"/>
  <c r="K30" i="19"/>
  <c r="K29" i="19"/>
  <c r="J32" i="19"/>
  <c r="L31" i="19" l="1"/>
  <c r="L30" i="19"/>
  <c r="L29" i="19"/>
  <c r="M27" i="19"/>
  <c r="M31" i="19" l="1"/>
  <c r="M35" i="19"/>
  <c r="M30" i="19"/>
  <c r="M29" i="19"/>
  <c r="L32" i="19"/>
  <c r="N27" i="19"/>
  <c r="N31" i="19" l="1"/>
  <c r="N35" i="19"/>
  <c r="N30" i="19"/>
  <c r="N29" i="19"/>
  <c r="M32" i="19"/>
  <c r="O27" i="19"/>
  <c r="K32" i="19"/>
  <c r="O31" i="19" l="1"/>
  <c r="O35" i="19"/>
  <c r="O30" i="19"/>
  <c r="O29" i="19"/>
  <c r="N32" i="19"/>
  <c r="P27" i="19"/>
  <c r="F32" i="19"/>
  <c r="I32" i="19"/>
  <c r="P31" i="19" l="1"/>
  <c r="P35" i="19"/>
  <c r="P29" i="19"/>
  <c r="P30" i="19"/>
  <c r="O32" i="19"/>
  <c r="Q27" i="19"/>
  <c r="Q31" i="19" l="1"/>
  <c r="Q35" i="19"/>
  <c r="Q30" i="19"/>
  <c r="Q29" i="19"/>
  <c r="P32" i="19"/>
  <c r="R27" i="19"/>
  <c r="R31" i="19" l="1"/>
  <c r="R35" i="19"/>
  <c r="R30" i="19"/>
  <c r="R29" i="19"/>
  <c r="Q32" i="19"/>
  <c r="S27" i="19"/>
  <c r="S31" i="19" l="1"/>
  <c r="S35" i="19"/>
  <c r="S30" i="19"/>
  <c r="S29" i="19"/>
  <c r="R32" i="19"/>
  <c r="T27" i="19"/>
  <c r="T31" i="19" l="1"/>
  <c r="T35" i="19"/>
  <c r="T29" i="19"/>
  <c r="T30" i="19"/>
  <c r="S32" i="19"/>
  <c r="U27" i="19"/>
  <c r="U31" i="19" l="1"/>
  <c r="U35" i="19"/>
  <c r="U30" i="19"/>
  <c r="U29" i="19"/>
  <c r="T32" i="19"/>
  <c r="V27" i="19"/>
  <c r="V31" i="19" l="1"/>
  <c r="V35" i="19"/>
  <c r="V29" i="19"/>
  <c r="V30" i="19"/>
  <c r="U32" i="19"/>
  <c r="W27" i="19"/>
  <c r="W31" i="19" l="1"/>
  <c r="W35" i="19"/>
  <c r="W30" i="19"/>
  <c r="W29" i="19"/>
  <c r="X27" i="19"/>
  <c r="V32" i="19"/>
  <c r="X31" i="19" l="1"/>
  <c r="X35" i="19"/>
  <c r="X30" i="19"/>
  <c r="X29" i="19"/>
  <c r="Y27" i="19"/>
  <c r="W32" i="19"/>
  <c r="Y31" i="19" l="1"/>
  <c r="Y35" i="19"/>
  <c r="Y30" i="19"/>
  <c r="Y29" i="19"/>
  <c r="X32" i="19"/>
  <c r="Z27" i="19"/>
  <c r="Z31" i="19" l="1"/>
  <c r="Z35" i="19"/>
  <c r="Z30" i="19"/>
  <c r="Z29" i="19"/>
  <c r="AA27" i="19"/>
  <c r="Y32" i="19"/>
  <c r="AA31" i="19" l="1"/>
  <c r="AA35" i="19"/>
  <c r="AA30" i="19"/>
  <c r="AA29" i="19"/>
  <c r="Z32" i="19"/>
  <c r="AB27" i="19"/>
  <c r="AB31" i="19" l="1"/>
  <c r="AB35" i="19"/>
  <c r="AB29" i="19"/>
  <c r="AB30" i="19"/>
  <c r="AA32" i="19"/>
  <c r="AC27" i="19"/>
  <c r="AC31" i="19" l="1"/>
  <c r="AC35" i="19"/>
  <c r="AC29" i="19"/>
  <c r="AC30" i="19"/>
  <c r="AB32" i="19"/>
  <c r="AC32" i="19" l="1"/>
  <c r="L7" i="19" s="1"/>
</calcChain>
</file>

<file path=xl/sharedStrings.xml><?xml version="1.0" encoding="utf-8"?>
<sst xmlns="http://schemas.openxmlformats.org/spreadsheetml/2006/main" count="32" uniqueCount="32">
  <si>
    <t>($ USD in Millions Except Per Share Amounts in USD as Stated)</t>
  </si>
  <si>
    <t>Bond Yield and Pricing Assumptions:</t>
  </si>
  <si>
    <t>Interest and Principal Payments:</t>
  </si>
  <si>
    <t>(+) Future Interest Payments:</t>
  </si>
  <si>
    <t>(+) Future Principal Repayments:</t>
  </si>
  <si>
    <t>(-) Initial Investment:</t>
  </si>
  <si>
    <t>Total Cash Flow:</t>
  </si>
  <si>
    <t>Internal Rate of Return (IRR):</t>
  </si>
  <si>
    <t>Bond Redemption Value % Par Value:</t>
  </si>
  <si>
    <t>Coupon Frequency:</t>
  </si>
  <si>
    <t>Annual</t>
  </si>
  <si>
    <t>Semiannual</t>
  </si>
  <si>
    <t>Projected:</t>
  </si>
  <si>
    <t>Bond Par Value or Face Value:</t>
  </si>
  <si>
    <t>Prevailing Yields on Similar Bonds (Discount Rate):</t>
  </si>
  <si>
    <t>Bond Coupon Rate (Fixed):</t>
  </si>
  <si>
    <t>Exit Date:</t>
  </si>
  <si>
    <t>Bond Maturity Date:</t>
  </si>
  <si>
    <t>Bond Maturity (Years):</t>
  </si>
  <si>
    <t>Market Price Upon Exit:</t>
  </si>
  <si>
    <t>Initial Purchase Date:</t>
  </si>
  <si>
    <t>Exit Before Maturity:</t>
  </si>
  <si>
    <t>Initial Bond Price in JPY:</t>
  </si>
  <si>
    <t>Final Bond Price Upon Exit in JPY:</t>
  </si>
  <si>
    <t>Purchase:</t>
  </si>
  <si>
    <t>IRR in JPY:</t>
  </si>
  <si>
    <t>Average Annual Inflation:</t>
  </si>
  <si>
    <t>USD:JPY Exchange Rate @ Purchase:</t>
  </si>
  <si>
    <t>USD:JPY Exchange Rate @ Exit:</t>
  </si>
  <si>
    <t>Inflation-Adjusted Exit Price:</t>
  </si>
  <si>
    <t>"Real" Loss Excluding Interest:</t>
  </si>
  <si>
    <t>Government Bond Yields and Pricing - Simple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</si>
</sst>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_(&quot;$&quot;* #,##0.0_);_(&quot;$&quot;* \(#,##0.0\);_(&quot;$&quot;* &quot;-&quot;?_);_(@_)"/>
    <numFmt numFmtId="166" formatCode="_(* #,##0.0_);_(* \(#,##0.0\);_(* &quot;-&quot;?_);_(@_)"/>
    <numFmt numFmtId="167" formatCode="yyyy\-mm\-dd"/>
    <numFmt numFmtId="168" formatCode="&quot;Yes&quot;;&quot;ERROR&quot;;&quot;No&quot;;&quot;ERROR&quot;"/>
    <numFmt numFmtId="169" formatCode="0.000%"/>
    <numFmt numFmtId="170" formatCode="0.000%;\(0.000%\)"/>
    <numFmt numFmtId="171" formatCode="0.00_);\(0.00\)"/>
    <numFmt numFmtId="172" formatCode="0_);\(0\)"/>
    <numFmt numFmtId="173" formatCode="_-[$¥-411]* #,##0_-;\-[$¥-411]* #,##0_-;_-[$¥-411]* &quot;-&quot;?_-;_-@_-"/>
    <numFmt numFmtId="174" formatCode="_(* #,##0_);_(* \(#,##0\);_(* &quot;-&quot;?_);_(@_)"/>
    <numFmt numFmtId="175" formatCode="0.0%;\(0.0%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sz val="12"/>
      <color theme="1"/>
      <name val="Calibri"/>
      <family val="2"/>
    </font>
    <font>
      <sz val="12"/>
      <color rgb="FF0000FF"/>
      <name val="Calibri"/>
      <family val="2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</borders>
  <cellStyleXfs count="12">
    <xf numFmtId="0" fontId="0" fillId="0" borderId="0"/>
    <xf numFmtId="0" fontId="7" fillId="2" borderId="3" applyNumberFormat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8" fillId="0" borderId="0"/>
    <xf numFmtId="0" fontId="1" fillId="0" borderId="0"/>
    <xf numFmtId="0" fontId="1" fillId="5" borderId="3" applyNumberFormat="0" applyFont="0" applyAlignment="0" applyProtection="0"/>
  </cellStyleXfs>
  <cellXfs count="54">
    <xf numFmtId="0" fontId="0" fillId="0" borderId="0" xfId="0"/>
    <xf numFmtId="0" fontId="6" fillId="0" borderId="0" xfId="10" applyFont="1"/>
    <xf numFmtId="0" fontId="11" fillId="0" borderId="0" xfId="10" applyFont="1"/>
    <xf numFmtId="0" fontId="12" fillId="0" borderId="0" xfId="2" applyFont="1"/>
    <xf numFmtId="0" fontId="13" fillId="4" borderId="2" xfId="0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16" fillId="0" borderId="0" xfId="0" applyFont="1"/>
    <xf numFmtId="0" fontId="16" fillId="0" borderId="0" xfId="6" applyFont="1"/>
    <xf numFmtId="0" fontId="11" fillId="0" borderId="0" xfId="0" applyFont="1"/>
    <xf numFmtId="167" fontId="18" fillId="2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indent="1"/>
    </xf>
    <xf numFmtId="165" fontId="11" fillId="0" borderId="0" xfId="0" applyNumberFormat="1" applyFont="1"/>
    <xf numFmtId="165" fontId="17" fillId="2" borderId="3" xfId="1" applyNumberFormat="1" applyFont="1" applyAlignment="1">
      <alignment horizontal="centerContinuous"/>
    </xf>
    <xf numFmtId="0" fontId="19" fillId="0" borderId="0" xfId="6" applyFont="1"/>
    <xf numFmtId="169" fontId="11" fillId="0" borderId="0" xfId="0" applyNumberFormat="1" applyFont="1"/>
    <xf numFmtId="0" fontId="11" fillId="3" borderId="0" xfId="0" applyFont="1" applyFill="1"/>
    <xf numFmtId="0" fontId="20" fillId="3" borderId="4" xfId="0" applyFont="1" applyFill="1" applyBorder="1" applyAlignment="1">
      <alignment horizontal="centerContinuous"/>
    </xf>
    <xf numFmtId="0" fontId="20" fillId="3" borderId="2" xfId="0" applyFont="1" applyFill="1" applyBorder="1" applyAlignment="1">
      <alignment horizontal="centerContinuous"/>
    </xf>
    <xf numFmtId="0" fontId="10" fillId="3" borderId="2" xfId="0" applyFont="1" applyFill="1" applyBorder="1"/>
    <xf numFmtId="0" fontId="11" fillId="3" borderId="2" xfId="0" applyFont="1" applyFill="1" applyBorder="1"/>
    <xf numFmtId="168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9" fillId="0" borderId="1" xfId="0" applyFont="1" applyBorder="1"/>
    <xf numFmtId="0" fontId="16" fillId="0" borderId="1" xfId="0" applyFont="1" applyBorder="1"/>
    <xf numFmtId="165" fontId="16" fillId="0" borderId="1" xfId="0" applyNumberFormat="1" applyFont="1" applyBorder="1"/>
    <xf numFmtId="165" fontId="19" fillId="0" borderId="1" xfId="0" applyNumberFormat="1" applyFont="1" applyBorder="1"/>
    <xf numFmtId="0" fontId="11" fillId="0" borderId="0" xfId="0" applyFont="1" applyAlignment="1">
      <alignment horizontal="left"/>
    </xf>
    <xf numFmtId="169" fontId="21" fillId="0" borderId="0" xfId="1" applyNumberFormat="1" applyFont="1" applyFill="1" applyBorder="1" applyAlignment="1"/>
    <xf numFmtId="164" fontId="16" fillId="0" borderId="0" xfId="0" applyNumberFormat="1" applyFont="1"/>
    <xf numFmtId="167" fontId="20" fillId="3" borderId="5" xfId="0" applyNumberFormat="1" applyFont="1" applyFill="1" applyBorder="1" applyAlignment="1">
      <alignment horizontal="center"/>
    </xf>
    <xf numFmtId="167" fontId="20" fillId="3" borderId="2" xfId="0" applyNumberFormat="1" applyFont="1" applyFill="1" applyBorder="1" applyAlignment="1">
      <alignment horizontal="center"/>
    </xf>
    <xf numFmtId="3" fontId="18" fillId="2" borderId="3" xfId="0" applyNumberFormat="1" applyFont="1" applyFill="1" applyBorder="1" applyAlignment="1">
      <alignment horizontal="center"/>
    </xf>
    <xf numFmtId="0" fontId="11" fillId="0" borderId="0" xfId="10" applyFont="1" applyAlignment="1">
      <alignment horizontal="center"/>
    </xf>
    <xf numFmtId="0" fontId="11" fillId="0" borderId="0" xfId="10" applyFont="1" applyAlignment="1">
      <alignment horizontal="left" indent="1"/>
    </xf>
    <xf numFmtId="0" fontId="14" fillId="4" borderId="0" xfId="0" applyFont="1" applyFill="1"/>
    <xf numFmtId="170" fontId="17" fillId="2" borderId="3" xfId="1" applyNumberFormat="1" applyFont="1" applyAlignment="1">
      <alignment horizontal="center"/>
    </xf>
    <xf numFmtId="167" fontId="11" fillId="0" borderId="0" xfId="10" applyNumberFormat="1" applyFont="1"/>
    <xf numFmtId="166" fontId="16" fillId="0" borderId="0" xfId="0" applyNumberFormat="1" applyFont="1"/>
    <xf numFmtId="166" fontId="17" fillId="2" borderId="3" xfId="1" applyNumberFormat="1" applyFont="1" applyAlignment="1">
      <alignment horizontal="centerContinuous"/>
    </xf>
    <xf numFmtId="166" fontId="21" fillId="0" borderId="0" xfId="1" applyNumberFormat="1" applyFont="1" applyFill="1" applyBorder="1" applyAlignment="1">
      <alignment horizontal="centerContinuous"/>
    </xf>
    <xf numFmtId="171" fontId="17" fillId="2" borderId="3" xfId="1" applyNumberFormat="1" applyFont="1" applyAlignment="1">
      <alignment horizontal="center"/>
    </xf>
    <xf numFmtId="172" fontId="17" fillId="2" borderId="3" xfId="1" applyNumberFormat="1" applyFont="1" applyAlignment="1">
      <alignment horizontal="center"/>
    </xf>
    <xf numFmtId="173" fontId="21" fillId="0" borderId="0" xfId="1" applyNumberFormat="1" applyFont="1" applyFill="1" applyBorder="1" applyAlignment="1">
      <alignment horizontal="centerContinuous"/>
    </xf>
    <xf numFmtId="173" fontId="21" fillId="0" borderId="0" xfId="1" applyNumberFormat="1" applyFont="1" applyFill="1" applyBorder="1" applyAlignment="1"/>
    <xf numFmtId="174" fontId="11" fillId="0" borderId="0" xfId="0" applyNumberFormat="1" applyFont="1"/>
    <xf numFmtId="174" fontId="11" fillId="0" borderId="2" xfId="0" applyNumberFormat="1" applyFont="1" applyBorder="1"/>
    <xf numFmtId="173" fontId="22" fillId="0" borderId="0" xfId="1" applyNumberFormat="1" applyFont="1" applyFill="1" applyBorder="1" applyAlignment="1"/>
    <xf numFmtId="175" fontId="17" fillId="2" borderId="3" xfId="1" applyNumberFormat="1" applyFont="1" applyAlignment="1">
      <alignment horizontal="center"/>
    </xf>
    <xf numFmtId="166" fontId="11" fillId="0" borderId="6" xfId="0" applyNumberFormat="1" applyFont="1" applyBorder="1"/>
    <xf numFmtId="175" fontId="11" fillId="0" borderId="0" xfId="0" applyNumberFormat="1" applyFont="1"/>
    <xf numFmtId="170" fontId="17" fillId="0" borderId="6" xfId="1" applyNumberFormat="1" applyFont="1" applyFill="1" applyBorder="1" applyAlignment="1">
      <alignment horizontal="center"/>
    </xf>
    <xf numFmtId="167" fontId="12" fillId="0" borderId="7" xfId="0" applyNumberFormat="1" applyFont="1" applyBorder="1" applyAlignment="1">
      <alignment horizontal="center"/>
    </xf>
    <xf numFmtId="166" fontId="11" fillId="0" borderId="0" xfId="10" applyNumberFormat="1" applyFont="1"/>
  </cellXfs>
  <cellStyles count="12">
    <cellStyle name="Normal" xfId="0" builtinId="0" customBuiltin="1"/>
    <cellStyle name="Normal 2" xfId="2" xr:uid="{00000000-0005-0000-0000-000001000000}"/>
    <cellStyle name="Normal 2 2 2" xfId="9" xr:uid="{00000000-0005-0000-0000-000002000000}"/>
    <cellStyle name="Normal 3" xfId="3" xr:uid="{00000000-0005-0000-0000-000003000000}"/>
    <cellStyle name="Normal 3 2" xfId="5" xr:uid="{00000000-0005-0000-0000-000004000000}"/>
    <cellStyle name="Normal 3 4" xfId="8" xr:uid="{00000000-0005-0000-0000-000005000000}"/>
    <cellStyle name="Normal 4" xfId="4" xr:uid="{00000000-0005-0000-0000-000006000000}"/>
    <cellStyle name="Normal 5" xfId="6" xr:uid="{00000000-0005-0000-0000-000007000000}"/>
    <cellStyle name="Normal 5 3" xfId="7" xr:uid="{00000000-0005-0000-0000-000008000000}"/>
    <cellStyle name="Normal 6" xfId="10" xr:uid="{00000000-0005-0000-0000-000009000000}"/>
    <cellStyle name="Note" xfId="1" builtinId="10" customBuiltin="1"/>
    <cellStyle name="Note 2" xfId="11" xr:uid="{00000000-0005-0000-0000-00000B000000}"/>
  </cellStyles>
  <dxfs count="0"/>
  <tableStyles count="0" defaultTableStyle="TableStyleMedium2" defaultPivotStyle="PivotStyleLight16"/>
  <colors>
    <mruColors>
      <color rgb="FF0000FF"/>
      <color rgb="FFFFFF99"/>
      <color rgb="FF007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  <wetp:taskpane dockstate="right" visibility="0" width="350" row="2">
    <wetp:webextensionref xmlns:r="http://schemas.openxmlformats.org/officeDocument/2006/relationships" r:id="rId2"/>
  </wetp:taskpane>
  <wetp:taskpane dockstate="right" visibility="0" width="350" row="1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50058A03-AB42-4A06-B37A-6054E5FFA227}">
  <we:reference id="wa104126656" version="1.0.0.0" store="en-US" storeType="OMEX"/>
  <we:alternateReferences>
    <we:reference id="WA104126656" version="1.0.0.0" store="WA104126656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B0913D7F-8052-4794-A48B-44B2FFF18D97}">
  <we:reference id="wa104175802" version="1.0.0.0" store="en-US" storeType="OMEX"/>
  <we:alternateReferences>
    <we:reference id="WA104175802" version="1.0.0.0" store="WA104175802" storeType="OMEX"/>
  </we:alternateReferences>
  <we:properties/>
  <we:bindings/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0FED1EFC-6986-4C36-8723-49F04601774E}">
  <we:reference id="wa102925879" version="1.2.0.0" store="en-US" storeType="OMEX"/>
  <we:alternateReferences>
    <we:reference id="WA102925879" version="1.2.0.0" store="WA10292587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AC40"/>
  <sheetViews>
    <sheetView showGridLines="0" tabSelected="1" zoomScale="115" zoomScaleNormal="115" workbookViewId="0">
      <selection activeCell="B2" sqref="B2"/>
    </sheetView>
  </sheetViews>
  <sheetFormatPr defaultRowHeight="15.75" x14ac:dyDescent="0.25"/>
  <cols>
    <col min="1" max="2" width="2.7109375" style="2" customWidth="1"/>
    <col min="3" max="29" width="12.7109375" style="2" customWidth="1"/>
    <col min="30" max="30" width="2.7109375" style="2" customWidth="1"/>
    <col min="31" max="37" width="13.7109375" style="2" customWidth="1"/>
    <col min="38" max="16384" width="9.140625" style="2"/>
  </cols>
  <sheetData>
    <row r="2" spans="2:29" ht="18.75" x14ac:dyDescent="0.3">
      <c r="B2" s="1" t="s">
        <v>31</v>
      </c>
    </row>
    <row r="3" spans="2:29" x14ac:dyDescent="0.25">
      <c r="B3" s="3" t="s">
        <v>0</v>
      </c>
    </row>
    <row r="5" spans="2:29" x14ac:dyDescent="0.25">
      <c r="B5" s="4" t="s">
        <v>1</v>
      </c>
      <c r="C5" s="5"/>
      <c r="D5" s="6"/>
      <c r="E5" s="6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2:29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29" x14ac:dyDescent="0.25">
      <c r="B7" s="7"/>
      <c r="C7" s="8" t="s">
        <v>14</v>
      </c>
      <c r="D7" s="8"/>
      <c r="E7" s="8"/>
      <c r="G7" s="36">
        <v>3.5000000000000003E-2</v>
      </c>
      <c r="I7" s="8" t="s">
        <v>7</v>
      </c>
      <c r="J7" s="7"/>
      <c r="K7" s="7"/>
      <c r="L7" s="50">
        <f>XIRR(F32:AC32,F27:AC27)</f>
        <v>-8.0398061871528634E-2</v>
      </c>
      <c r="N7" s="7"/>
      <c r="O7" s="7"/>
    </row>
    <row r="8" spans="2:29" x14ac:dyDescent="0.25">
      <c r="B8" s="7"/>
      <c r="K8" s="7"/>
      <c r="L8" s="7"/>
      <c r="N8" s="7"/>
      <c r="O8" s="7"/>
    </row>
    <row r="9" spans="2:29" x14ac:dyDescent="0.25">
      <c r="B9" s="7"/>
      <c r="C9" s="2" t="s">
        <v>20</v>
      </c>
      <c r="G9" s="10">
        <v>44196</v>
      </c>
      <c r="I9" s="8" t="s">
        <v>27</v>
      </c>
      <c r="K9" s="7"/>
      <c r="L9" s="41">
        <v>100</v>
      </c>
      <c r="N9" s="7"/>
      <c r="O9" s="7"/>
    </row>
    <row r="10" spans="2:29" x14ac:dyDescent="0.25">
      <c r="B10" s="7"/>
      <c r="C10" s="8" t="s">
        <v>15</v>
      </c>
      <c r="D10" s="8"/>
      <c r="E10" s="8"/>
      <c r="G10" s="36">
        <v>0.01</v>
      </c>
      <c r="I10" s="2" t="s">
        <v>28</v>
      </c>
      <c r="L10" s="41">
        <v>130</v>
      </c>
      <c r="N10" s="7"/>
      <c r="O10" s="7"/>
    </row>
    <row r="11" spans="2:29" x14ac:dyDescent="0.25">
      <c r="B11" s="7"/>
      <c r="C11" s="8" t="s">
        <v>18</v>
      </c>
      <c r="D11" s="8"/>
      <c r="E11" s="8"/>
      <c r="G11" s="42">
        <v>10</v>
      </c>
      <c r="I11" s="8"/>
      <c r="K11" s="7"/>
      <c r="L11" s="15"/>
      <c r="N11" s="7"/>
      <c r="O11" s="7"/>
    </row>
    <row r="12" spans="2:29" x14ac:dyDescent="0.25">
      <c r="B12" s="7"/>
      <c r="C12" s="8"/>
      <c r="D12" s="8"/>
      <c r="E12" s="8"/>
      <c r="G12" s="51"/>
      <c r="I12" s="8" t="s">
        <v>22</v>
      </c>
      <c r="K12" s="7"/>
      <c r="L12" s="43">
        <f>Bond_Par_Value*L9</f>
        <v>100000</v>
      </c>
      <c r="N12" s="7"/>
      <c r="O12" s="7"/>
    </row>
    <row r="13" spans="2:29" x14ac:dyDescent="0.25">
      <c r="B13" s="7"/>
      <c r="C13" s="8" t="s">
        <v>17</v>
      </c>
      <c r="D13" s="8"/>
      <c r="E13" s="8"/>
      <c r="G13" s="52">
        <f>EOMONTH(Purchase_Date,12*Num_Years)</f>
        <v>47848</v>
      </c>
      <c r="I13" s="8" t="s">
        <v>23</v>
      </c>
      <c r="K13" s="7"/>
      <c r="L13" s="43">
        <f>Bond_Price*L10</f>
        <v>107492.94275324259</v>
      </c>
      <c r="N13" s="7"/>
      <c r="O13" s="7"/>
    </row>
    <row r="14" spans="2:29" x14ac:dyDescent="0.25">
      <c r="B14" s="7"/>
      <c r="C14" s="2" t="s">
        <v>16</v>
      </c>
      <c r="G14" s="10">
        <v>44926</v>
      </c>
      <c r="I14" s="8"/>
      <c r="J14" s="7"/>
      <c r="K14" s="7"/>
      <c r="L14" s="15"/>
      <c r="N14" s="7"/>
      <c r="O14" s="7"/>
    </row>
    <row r="15" spans="2:29" x14ac:dyDescent="0.25">
      <c r="B15" s="7"/>
      <c r="H15" s="8"/>
      <c r="I15" s="2" t="s">
        <v>25</v>
      </c>
      <c r="L15" s="50">
        <f>XIRR(F40:AC40,F35:AC35)</f>
        <v>4.6725854277610779E-2</v>
      </c>
      <c r="N15" s="7"/>
      <c r="O15" s="7"/>
    </row>
    <row r="16" spans="2:29" x14ac:dyDescent="0.25">
      <c r="B16" s="7"/>
      <c r="C16" s="2" t="s">
        <v>21</v>
      </c>
      <c r="G16" s="33">
        <f>IF(Exit_Date&lt;Maturity_Date,1,0)</f>
        <v>1</v>
      </c>
      <c r="H16" s="8"/>
      <c r="I16" s="8"/>
      <c r="J16" s="8"/>
      <c r="K16" s="8"/>
      <c r="L16" s="15"/>
      <c r="N16" s="7"/>
      <c r="O16" s="7"/>
    </row>
    <row r="17" spans="2:29" x14ac:dyDescent="0.25">
      <c r="B17" s="7"/>
      <c r="H17" s="8"/>
      <c r="I17" s="2" t="s">
        <v>26</v>
      </c>
      <c r="L17" s="48">
        <v>0.05</v>
      </c>
      <c r="N17" s="7"/>
      <c r="O17" s="7"/>
    </row>
    <row r="18" spans="2:29" x14ac:dyDescent="0.25">
      <c r="B18" s="7"/>
      <c r="C18" s="2" t="s">
        <v>9</v>
      </c>
      <c r="G18" s="32">
        <v>2</v>
      </c>
      <c r="H18" s="8"/>
      <c r="I18" s="37" t="s">
        <v>29</v>
      </c>
      <c r="L18" s="49">
        <f>Bond_Price*(1-L17)^(MIN(YEAR(Exit_Date),YEAR(Maturity_Date))-YEAR(Purchase_Date))</f>
        <v>746.24908334462646</v>
      </c>
      <c r="N18" s="7"/>
      <c r="O18" s="7"/>
    </row>
    <row r="19" spans="2:29" x14ac:dyDescent="0.25">
      <c r="B19" s="7"/>
      <c r="C19" s="34" t="s">
        <v>10</v>
      </c>
      <c r="G19" s="33">
        <v>1</v>
      </c>
      <c r="H19" s="8"/>
      <c r="I19" s="7" t="s">
        <v>30</v>
      </c>
      <c r="J19" s="7"/>
      <c r="K19" s="7"/>
      <c r="L19" s="38">
        <f>L18-Bond_Par_Value</f>
        <v>-253.75091665537354</v>
      </c>
      <c r="N19" s="7"/>
      <c r="O19" s="7"/>
    </row>
    <row r="20" spans="2:29" x14ac:dyDescent="0.25">
      <c r="B20" s="7"/>
      <c r="C20" s="34" t="s">
        <v>11</v>
      </c>
      <c r="G20" s="33">
        <v>2</v>
      </c>
      <c r="L20" s="53"/>
      <c r="N20" s="7"/>
      <c r="O20" s="7"/>
    </row>
    <row r="21" spans="2:29" x14ac:dyDescent="0.25">
      <c r="B21" s="7"/>
      <c r="C21" s="34"/>
      <c r="G21" s="33"/>
      <c r="N21" s="7"/>
      <c r="O21" s="7"/>
    </row>
    <row r="22" spans="2:29" x14ac:dyDescent="0.25">
      <c r="B22" s="7"/>
      <c r="C22" s="8" t="s">
        <v>13</v>
      </c>
      <c r="D22" s="8"/>
      <c r="E22" s="8"/>
      <c r="G22" s="13">
        <v>1000</v>
      </c>
      <c r="H22" s="7"/>
      <c r="N22" s="7"/>
      <c r="O22" s="7"/>
    </row>
    <row r="23" spans="2:29" x14ac:dyDescent="0.25">
      <c r="B23" s="7"/>
      <c r="C23" s="8" t="s">
        <v>8</v>
      </c>
      <c r="D23" s="8"/>
      <c r="E23" s="8"/>
      <c r="G23" s="39">
        <v>100</v>
      </c>
      <c r="H23" s="7"/>
      <c r="M23" s="7"/>
      <c r="N23" s="7"/>
      <c r="O23" s="7"/>
    </row>
    <row r="24" spans="2:29" x14ac:dyDescent="0.25">
      <c r="B24" s="7"/>
      <c r="C24" s="2" t="s">
        <v>19</v>
      </c>
      <c r="G24" s="40">
        <f>IF(Exit_First,PRICE(Exit_Date,Maturity_Date,Coupon_Rate,Discount_Rate,Bond_Redemption_Pct,Frequency)/100*Bond_Par_Value,Bond_Par_Value)</f>
        <v>826.86879040955841</v>
      </c>
      <c r="H24" s="7"/>
      <c r="I24" s="7"/>
      <c r="J24" s="7"/>
      <c r="K24" s="7"/>
      <c r="L24" s="38"/>
      <c r="M24" s="7"/>
      <c r="N24" s="7"/>
      <c r="O24" s="7"/>
    </row>
    <row r="25" spans="2:29" x14ac:dyDescent="0.25">
      <c r="B25" s="7"/>
      <c r="C25" s="14"/>
      <c r="D25" s="7"/>
      <c r="E25" s="7"/>
      <c r="F25" s="15"/>
      <c r="G25" s="29"/>
      <c r="H25" s="7"/>
      <c r="I25" s="7"/>
      <c r="J25" s="7"/>
      <c r="K25" s="7"/>
      <c r="L25" s="7"/>
      <c r="M25" s="7"/>
      <c r="N25" s="7"/>
      <c r="O25" s="7"/>
    </row>
    <row r="26" spans="2:29" x14ac:dyDescent="0.25">
      <c r="B26" s="7"/>
      <c r="C26" s="16"/>
      <c r="D26" s="16"/>
      <c r="E26" s="16"/>
      <c r="F26" s="17" t="s">
        <v>24</v>
      </c>
      <c r="G26" s="18" t="s">
        <v>12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2:29" x14ac:dyDescent="0.25">
      <c r="B27" s="7"/>
      <c r="C27" s="19" t="s">
        <v>2</v>
      </c>
      <c r="D27" s="20"/>
      <c r="E27" s="20"/>
      <c r="F27" s="30">
        <f>Purchase_Date</f>
        <v>44196</v>
      </c>
      <c r="G27" s="31">
        <f t="shared" ref="G27:W27" si="0">IFERROR(COUPNCD(F27,Maturity_Date,Frequency,0),EOMONTH(F27,1))</f>
        <v>44377</v>
      </c>
      <c r="H27" s="31">
        <f t="shared" si="0"/>
        <v>44561</v>
      </c>
      <c r="I27" s="31">
        <f t="shared" si="0"/>
        <v>44742</v>
      </c>
      <c r="J27" s="31">
        <f t="shared" si="0"/>
        <v>44926</v>
      </c>
      <c r="K27" s="31">
        <f t="shared" si="0"/>
        <v>45107</v>
      </c>
      <c r="L27" s="31">
        <f t="shared" si="0"/>
        <v>45291</v>
      </c>
      <c r="M27" s="31">
        <f t="shared" si="0"/>
        <v>45473</v>
      </c>
      <c r="N27" s="31">
        <f t="shared" si="0"/>
        <v>45657</v>
      </c>
      <c r="O27" s="31">
        <f t="shared" si="0"/>
        <v>45838</v>
      </c>
      <c r="P27" s="31">
        <f t="shared" si="0"/>
        <v>46022</v>
      </c>
      <c r="Q27" s="31">
        <f t="shared" si="0"/>
        <v>46203</v>
      </c>
      <c r="R27" s="31">
        <f t="shared" si="0"/>
        <v>46387</v>
      </c>
      <c r="S27" s="31">
        <f t="shared" si="0"/>
        <v>46568</v>
      </c>
      <c r="T27" s="31">
        <f t="shared" si="0"/>
        <v>46752</v>
      </c>
      <c r="U27" s="31">
        <f t="shared" si="0"/>
        <v>46934</v>
      </c>
      <c r="V27" s="31">
        <f t="shared" si="0"/>
        <v>47118</v>
      </c>
      <c r="W27" s="31">
        <f t="shared" si="0"/>
        <v>47299</v>
      </c>
      <c r="X27" s="31">
        <f t="shared" ref="X27" si="1">IFERROR(COUPNCD(W27,Maturity_Date,Frequency,0),EOMONTH(W27,1))</f>
        <v>47483</v>
      </c>
      <c r="Y27" s="31">
        <f t="shared" ref="Y27" si="2">IFERROR(COUPNCD(X27,Maturity_Date,Frequency,0),EOMONTH(X27,1))</f>
        <v>47664</v>
      </c>
      <c r="Z27" s="31">
        <f t="shared" ref="Z27" si="3">IFERROR(COUPNCD(Y27,Maturity_Date,Frequency,0),EOMONTH(Y27,1))</f>
        <v>47848</v>
      </c>
      <c r="AA27" s="31">
        <f t="shared" ref="AA27" si="4">IFERROR(COUPNCD(Z27,Maturity_Date,Frequency,0),EOMONTH(Z27,1))</f>
        <v>47879</v>
      </c>
      <c r="AB27" s="31">
        <f t="shared" ref="AB27" si="5">IFERROR(COUPNCD(AA27,Maturity_Date,Frequency,0),EOMONTH(AA27,1))</f>
        <v>47907</v>
      </c>
      <c r="AC27" s="31">
        <f t="shared" ref="AC27" si="6">IFERROR(COUPNCD(AB27,Maturity_Date,Frequency,0),EOMONTH(AB27,1))</f>
        <v>47938</v>
      </c>
    </row>
    <row r="28" spans="2:29" x14ac:dyDescent="0.25">
      <c r="B28" s="7"/>
      <c r="C28" s="11"/>
      <c r="D28" s="9"/>
      <c r="E28" s="9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2:29" x14ac:dyDescent="0.25">
      <c r="B29" s="7"/>
      <c r="C29" s="11" t="s">
        <v>5</v>
      </c>
      <c r="D29" s="9"/>
      <c r="E29" s="9"/>
      <c r="F29" s="12">
        <f t="shared" ref="F29:AC29" si="7">IFERROR(IF(Purchase_Date=F27,-Bond_Par_Value,0),"N/A")</f>
        <v>-1000</v>
      </c>
      <c r="G29" s="12">
        <f t="shared" si="7"/>
        <v>0</v>
      </c>
      <c r="H29" s="12">
        <f t="shared" si="7"/>
        <v>0</v>
      </c>
      <c r="I29" s="12">
        <f t="shared" si="7"/>
        <v>0</v>
      </c>
      <c r="J29" s="12">
        <f t="shared" si="7"/>
        <v>0</v>
      </c>
      <c r="K29" s="12">
        <f t="shared" si="7"/>
        <v>0</v>
      </c>
      <c r="L29" s="12">
        <f t="shared" si="7"/>
        <v>0</v>
      </c>
      <c r="M29" s="12">
        <f t="shared" si="7"/>
        <v>0</v>
      </c>
      <c r="N29" s="12">
        <f t="shared" si="7"/>
        <v>0</v>
      </c>
      <c r="O29" s="12">
        <f t="shared" si="7"/>
        <v>0</v>
      </c>
      <c r="P29" s="12">
        <f t="shared" si="7"/>
        <v>0</v>
      </c>
      <c r="Q29" s="12">
        <f t="shared" si="7"/>
        <v>0</v>
      </c>
      <c r="R29" s="12">
        <f t="shared" si="7"/>
        <v>0</v>
      </c>
      <c r="S29" s="12">
        <f t="shared" si="7"/>
        <v>0</v>
      </c>
      <c r="T29" s="12">
        <f t="shared" si="7"/>
        <v>0</v>
      </c>
      <c r="U29" s="12">
        <f t="shared" si="7"/>
        <v>0</v>
      </c>
      <c r="V29" s="12">
        <f t="shared" si="7"/>
        <v>0</v>
      </c>
      <c r="W29" s="12">
        <f t="shared" si="7"/>
        <v>0</v>
      </c>
      <c r="X29" s="12">
        <f t="shared" si="7"/>
        <v>0</v>
      </c>
      <c r="Y29" s="12">
        <f t="shared" si="7"/>
        <v>0</v>
      </c>
      <c r="Z29" s="12">
        <f t="shared" si="7"/>
        <v>0</v>
      </c>
      <c r="AA29" s="12">
        <f t="shared" si="7"/>
        <v>0</v>
      </c>
      <c r="AB29" s="12">
        <f t="shared" si="7"/>
        <v>0</v>
      </c>
      <c r="AC29" s="12">
        <f t="shared" si="7"/>
        <v>0</v>
      </c>
    </row>
    <row r="30" spans="2:29" x14ac:dyDescent="0.25">
      <c r="B30" s="7"/>
      <c r="C30" s="11" t="s">
        <v>3</v>
      </c>
      <c r="D30" s="9"/>
      <c r="E30" s="9"/>
      <c r="F30" s="22">
        <f t="shared" ref="F30:AC30" si="8">IFERROR(IF(AND(F27&gt;Purchase_Date,F27&lt;=MIN(Maturity_Date,Exit_Date)),Coupon_Rate*Bond_Par_Value/Frequency,0)*YEARFRAC(E27,F27,0)*Frequency,"N/A")</f>
        <v>0</v>
      </c>
      <c r="G30" s="22">
        <f t="shared" si="8"/>
        <v>5</v>
      </c>
      <c r="H30" s="22">
        <f t="shared" si="8"/>
        <v>5</v>
      </c>
      <c r="I30" s="22">
        <f t="shared" si="8"/>
        <v>5</v>
      </c>
      <c r="J30" s="22">
        <f t="shared" si="8"/>
        <v>5</v>
      </c>
      <c r="K30" s="22">
        <f t="shared" si="8"/>
        <v>0</v>
      </c>
      <c r="L30" s="22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</v>
      </c>
      <c r="S30" s="22">
        <f t="shared" si="8"/>
        <v>0</v>
      </c>
      <c r="T30" s="22">
        <f t="shared" si="8"/>
        <v>0</v>
      </c>
      <c r="U30" s="22">
        <f t="shared" si="8"/>
        <v>0</v>
      </c>
      <c r="V30" s="22">
        <f t="shared" si="8"/>
        <v>0</v>
      </c>
      <c r="W30" s="22">
        <f t="shared" si="8"/>
        <v>0</v>
      </c>
      <c r="X30" s="22">
        <f t="shared" si="8"/>
        <v>0</v>
      </c>
      <c r="Y30" s="22">
        <f t="shared" si="8"/>
        <v>0</v>
      </c>
      <c r="Z30" s="22">
        <f t="shared" si="8"/>
        <v>0</v>
      </c>
      <c r="AA30" s="22">
        <f t="shared" si="8"/>
        <v>0</v>
      </c>
      <c r="AB30" s="22">
        <f t="shared" si="8"/>
        <v>0</v>
      </c>
      <c r="AC30" s="22">
        <f t="shared" si="8"/>
        <v>0</v>
      </c>
    </row>
    <row r="31" spans="2:29" x14ac:dyDescent="0.25">
      <c r="B31" s="7"/>
      <c r="C31" s="11" t="s">
        <v>4</v>
      </c>
      <c r="D31" s="9"/>
      <c r="E31" s="9"/>
      <c r="F31" s="22">
        <f t="shared" ref="F31:AC31" si="9">IFERROR(IF(AND(Exit_First=0,Maturity_Date=F27),Bond_Par_Value*Bond_Redemption_Pct/100,IF(AND(Exit_First=1,Exit_Date=F27),Bond_Price,0)),"N/A")</f>
        <v>0</v>
      </c>
      <c r="G31" s="22">
        <f t="shared" si="9"/>
        <v>0</v>
      </c>
      <c r="H31" s="22">
        <f t="shared" si="9"/>
        <v>0</v>
      </c>
      <c r="I31" s="22">
        <f t="shared" si="9"/>
        <v>0</v>
      </c>
      <c r="J31" s="22">
        <f t="shared" si="9"/>
        <v>826.86879040955841</v>
      </c>
      <c r="K31" s="22">
        <f t="shared" si="9"/>
        <v>0</v>
      </c>
      <c r="L31" s="22">
        <f t="shared" si="9"/>
        <v>0</v>
      </c>
      <c r="M31" s="22">
        <f t="shared" si="9"/>
        <v>0</v>
      </c>
      <c r="N31" s="22">
        <f t="shared" si="9"/>
        <v>0</v>
      </c>
      <c r="O31" s="22">
        <f t="shared" si="9"/>
        <v>0</v>
      </c>
      <c r="P31" s="22">
        <f t="shared" si="9"/>
        <v>0</v>
      </c>
      <c r="Q31" s="22">
        <f t="shared" si="9"/>
        <v>0</v>
      </c>
      <c r="R31" s="22">
        <f t="shared" si="9"/>
        <v>0</v>
      </c>
      <c r="S31" s="22">
        <f t="shared" si="9"/>
        <v>0</v>
      </c>
      <c r="T31" s="22">
        <f t="shared" si="9"/>
        <v>0</v>
      </c>
      <c r="U31" s="22">
        <f t="shared" si="9"/>
        <v>0</v>
      </c>
      <c r="V31" s="22">
        <f t="shared" si="9"/>
        <v>0</v>
      </c>
      <c r="W31" s="22">
        <f t="shared" si="9"/>
        <v>0</v>
      </c>
      <c r="X31" s="22">
        <f t="shared" si="9"/>
        <v>0</v>
      </c>
      <c r="Y31" s="22">
        <f t="shared" si="9"/>
        <v>0</v>
      </c>
      <c r="Z31" s="22">
        <f t="shared" si="9"/>
        <v>0</v>
      </c>
      <c r="AA31" s="22">
        <f t="shared" si="9"/>
        <v>0</v>
      </c>
      <c r="AB31" s="22">
        <f t="shared" si="9"/>
        <v>0</v>
      </c>
      <c r="AC31" s="22">
        <f t="shared" si="9"/>
        <v>0</v>
      </c>
    </row>
    <row r="32" spans="2:29" x14ac:dyDescent="0.25">
      <c r="B32" s="7"/>
      <c r="C32" s="23" t="s">
        <v>6</v>
      </c>
      <c r="D32" s="24"/>
      <c r="E32" s="25"/>
      <c r="F32" s="26">
        <f>SUM(F29:F31)</f>
        <v>-1000</v>
      </c>
      <c r="G32" s="26">
        <f t="shared" ref="G32:P32" si="10">SUM(G29:G31)</f>
        <v>5</v>
      </c>
      <c r="H32" s="26">
        <f t="shared" si="10"/>
        <v>5</v>
      </c>
      <c r="I32" s="26">
        <f t="shared" si="10"/>
        <v>5</v>
      </c>
      <c r="J32" s="26">
        <f t="shared" si="10"/>
        <v>831.86879040955841</v>
      </c>
      <c r="K32" s="26">
        <f t="shared" si="10"/>
        <v>0</v>
      </c>
      <c r="L32" s="26">
        <f t="shared" si="10"/>
        <v>0</v>
      </c>
      <c r="M32" s="26">
        <f t="shared" si="10"/>
        <v>0</v>
      </c>
      <c r="N32" s="26">
        <f t="shared" si="10"/>
        <v>0</v>
      </c>
      <c r="O32" s="26">
        <f t="shared" si="10"/>
        <v>0</v>
      </c>
      <c r="P32" s="26">
        <f t="shared" si="10"/>
        <v>0</v>
      </c>
      <c r="Q32" s="26">
        <f t="shared" ref="Q32:AC32" si="11">SUM(Q29:Q31)</f>
        <v>0</v>
      </c>
      <c r="R32" s="26">
        <f t="shared" si="11"/>
        <v>0</v>
      </c>
      <c r="S32" s="26">
        <f t="shared" si="11"/>
        <v>0</v>
      </c>
      <c r="T32" s="26">
        <f t="shared" si="11"/>
        <v>0</v>
      </c>
      <c r="U32" s="26">
        <f t="shared" si="11"/>
        <v>0</v>
      </c>
      <c r="V32" s="26">
        <f t="shared" si="11"/>
        <v>0</v>
      </c>
      <c r="W32" s="26">
        <f t="shared" si="11"/>
        <v>0</v>
      </c>
      <c r="X32" s="26">
        <f t="shared" si="11"/>
        <v>0</v>
      </c>
      <c r="Y32" s="26">
        <f t="shared" si="11"/>
        <v>0</v>
      </c>
      <c r="Z32" s="26">
        <f t="shared" si="11"/>
        <v>0</v>
      </c>
      <c r="AA32" s="26">
        <f t="shared" si="11"/>
        <v>0</v>
      </c>
      <c r="AB32" s="26">
        <f t="shared" si="11"/>
        <v>0</v>
      </c>
      <c r="AC32" s="26">
        <f t="shared" si="11"/>
        <v>0</v>
      </c>
    </row>
    <row r="33" spans="2:29" x14ac:dyDescent="0.25">
      <c r="B33" s="7"/>
      <c r="C33" s="27"/>
      <c r="E33" s="28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2:29" x14ac:dyDescent="0.25">
      <c r="C34" s="16"/>
      <c r="D34" s="16"/>
      <c r="E34" s="16"/>
      <c r="F34" s="17" t="str">
        <f>F26</f>
        <v>Purchase:</v>
      </c>
      <c r="G34" s="18" t="str">
        <f>G26</f>
        <v>Projected: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2:29" x14ac:dyDescent="0.25">
      <c r="C35" s="19" t="str">
        <f>C27</f>
        <v>Interest and Principal Payments:</v>
      </c>
      <c r="D35" s="20"/>
      <c r="E35" s="20"/>
      <c r="F35" s="30">
        <f t="shared" ref="F35:AC35" si="12">F27</f>
        <v>44196</v>
      </c>
      <c r="G35" s="31">
        <f t="shared" si="12"/>
        <v>44377</v>
      </c>
      <c r="H35" s="31">
        <f t="shared" si="12"/>
        <v>44561</v>
      </c>
      <c r="I35" s="31">
        <f t="shared" si="12"/>
        <v>44742</v>
      </c>
      <c r="J35" s="31">
        <f t="shared" si="12"/>
        <v>44926</v>
      </c>
      <c r="K35" s="31">
        <f t="shared" si="12"/>
        <v>45107</v>
      </c>
      <c r="L35" s="31">
        <f t="shared" si="12"/>
        <v>45291</v>
      </c>
      <c r="M35" s="31">
        <f t="shared" si="12"/>
        <v>45473</v>
      </c>
      <c r="N35" s="31">
        <f t="shared" si="12"/>
        <v>45657</v>
      </c>
      <c r="O35" s="31">
        <f t="shared" si="12"/>
        <v>45838</v>
      </c>
      <c r="P35" s="31">
        <f t="shared" si="12"/>
        <v>46022</v>
      </c>
      <c r="Q35" s="31">
        <f t="shared" si="12"/>
        <v>46203</v>
      </c>
      <c r="R35" s="31">
        <f t="shared" si="12"/>
        <v>46387</v>
      </c>
      <c r="S35" s="31">
        <f t="shared" si="12"/>
        <v>46568</v>
      </c>
      <c r="T35" s="31">
        <f t="shared" si="12"/>
        <v>46752</v>
      </c>
      <c r="U35" s="31">
        <f t="shared" si="12"/>
        <v>46934</v>
      </c>
      <c r="V35" s="31">
        <f t="shared" si="12"/>
        <v>47118</v>
      </c>
      <c r="W35" s="31">
        <f t="shared" si="12"/>
        <v>47299</v>
      </c>
      <c r="X35" s="31">
        <f t="shared" si="12"/>
        <v>47483</v>
      </c>
      <c r="Y35" s="31">
        <f t="shared" si="12"/>
        <v>47664</v>
      </c>
      <c r="Z35" s="31">
        <f t="shared" si="12"/>
        <v>47848</v>
      </c>
      <c r="AA35" s="31">
        <f t="shared" si="12"/>
        <v>47879</v>
      </c>
      <c r="AB35" s="31">
        <f t="shared" si="12"/>
        <v>47907</v>
      </c>
      <c r="AC35" s="31">
        <f t="shared" si="12"/>
        <v>47938</v>
      </c>
    </row>
    <row r="36" spans="2:29" x14ac:dyDescent="0.25">
      <c r="C36" s="11"/>
      <c r="D36" s="9"/>
      <c r="E36" s="9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2:29" x14ac:dyDescent="0.25">
      <c r="C37" s="11" t="str">
        <f>C29</f>
        <v>(-) Initial Investment:</v>
      </c>
      <c r="D37" s="9"/>
      <c r="E37" s="9"/>
      <c r="F37" s="44">
        <f>F29*$L$9</f>
        <v>-100000</v>
      </c>
      <c r="G37" s="44">
        <f t="shared" ref="G37:AC37" si="13">G29*$L$9</f>
        <v>0</v>
      </c>
      <c r="H37" s="44">
        <f t="shared" si="13"/>
        <v>0</v>
      </c>
      <c r="I37" s="44">
        <f t="shared" si="13"/>
        <v>0</v>
      </c>
      <c r="J37" s="44">
        <f t="shared" si="13"/>
        <v>0</v>
      </c>
      <c r="K37" s="44">
        <f t="shared" si="13"/>
        <v>0</v>
      </c>
      <c r="L37" s="44">
        <f t="shared" si="13"/>
        <v>0</v>
      </c>
      <c r="M37" s="44">
        <f t="shared" si="13"/>
        <v>0</v>
      </c>
      <c r="N37" s="44">
        <f t="shared" si="13"/>
        <v>0</v>
      </c>
      <c r="O37" s="44">
        <f t="shared" si="13"/>
        <v>0</v>
      </c>
      <c r="P37" s="44">
        <f t="shared" si="13"/>
        <v>0</v>
      </c>
      <c r="Q37" s="44">
        <f t="shared" si="13"/>
        <v>0</v>
      </c>
      <c r="R37" s="44">
        <f t="shared" si="13"/>
        <v>0</v>
      </c>
      <c r="S37" s="44">
        <f t="shared" si="13"/>
        <v>0</v>
      </c>
      <c r="T37" s="44">
        <f t="shared" si="13"/>
        <v>0</v>
      </c>
      <c r="U37" s="44">
        <f t="shared" si="13"/>
        <v>0</v>
      </c>
      <c r="V37" s="44">
        <f t="shared" si="13"/>
        <v>0</v>
      </c>
      <c r="W37" s="44">
        <f t="shared" si="13"/>
        <v>0</v>
      </c>
      <c r="X37" s="44">
        <f t="shared" si="13"/>
        <v>0</v>
      </c>
      <c r="Y37" s="44">
        <f t="shared" si="13"/>
        <v>0</v>
      </c>
      <c r="Z37" s="44">
        <f t="shared" si="13"/>
        <v>0</v>
      </c>
      <c r="AA37" s="44">
        <f t="shared" si="13"/>
        <v>0</v>
      </c>
      <c r="AB37" s="44">
        <f t="shared" si="13"/>
        <v>0</v>
      </c>
      <c r="AC37" s="44">
        <f t="shared" si="13"/>
        <v>0</v>
      </c>
    </row>
    <row r="38" spans="2:29" x14ac:dyDescent="0.25">
      <c r="C38" s="11" t="str">
        <f t="shared" ref="C38:C40" si="14">C30</f>
        <v>(+) Future Interest Payments:</v>
      </c>
      <c r="D38" s="9"/>
      <c r="E38" s="9"/>
      <c r="F38" s="45">
        <f>F30*$L$9</f>
        <v>0</v>
      </c>
      <c r="G38" s="45">
        <f t="shared" ref="G38:AC38" si="15">G30*$L$9</f>
        <v>500</v>
      </c>
      <c r="H38" s="45">
        <f t="shared" si="15"/>
        <v>500</v>
      </c>
      <c r="I38" s="45">
        <f t="shared" si="15"/>
        <v>500</v>
      </c>
      <c r="J38" s="45">
        <f t="shared" si="15"/>
        <v>500</v>
      </c>
      <c r="K38" s="45">
        <f t="shared" si="15"/>
        <v>0</v>
      </c>
      <c r="L38" s="45">
        <f t="shared" si="15"/>
        <v>0</v>
      </c>
      <c r="M38" s="45">
        <f t="shared" si="15"/>
        <v>0</v>
      </c>
      <c r="N38" s="45">
        <f t="shared" si="15"/>
        <v>0</v>
      </c>
      <c r="O38" s="45">
        <f t="shared" si="15"/>
        <v>0</v>
      </c>
      <c r="P38" s="45">
        <f t="shared" si="15"/>
        <v>0</v>
      </c>
      <c r="Q38" s="45">
        <f t="shared" si="15"/>
        <v>0</v>
      </c>
      <c r="R38" s="45">
        <f t="shared" si="15"/>
        <v>0</v>
      </c>
      <c r="S38" s="45">
        <f t="shared" si="15"/>
        <v>0</v>
      </c>
      <c r="T38" s="45">
        <f t="shared" si="15"/>
        <v>0</v>
      </c>
      <c r="U38" s="45">
        <f t="shared" si="15"/>
        <v>0</v>
      </c>
      <c r="V38" s="45">
        <f t="shared" si="15"/>
        <v>0</v>
      </c>
      <c r="W38" s="45">
        <f t="shared" si="15"/>
        <v>0</v>
      </c>
      <c r="X38" s="45">
        <f t="shared" si="15"/>
        <v>0</v>
      </c>
      <c r="Y38" s="45">
        <f t="shared" si="15"/>
        <v>0</v>
      </c>
      <c r="Z38" s="45">
        <f t="shared" si="15"/>
        <v>0</v>
      </c>
      <c r="AA38" s="45">
        <f t="shared" si="15"/>
        <v>0</v>
      </c>
      <c r="AB38" s="45">
        <f t="shared" si="15"/>
        <v>0</v>
      </c>
      <c r="AC38" s="45">
        <f t="shared" si="15"/>
        <v>0</v>
      </c>
    </row>
    <row r="39" spans="2:29" x14ac:dyDescent="0.25">
      <c r="C39" s="11" t="str">
        <f t="shared" si="14"/>
        <v>(+) Future Principal Repayments:</v>
      </c>
      <c r="D39" s="9"/>
      <c r="E39" s="9"/>
      <c r="F39" s="46">
        <f>F31*$L$10</f>
        <v>0</v>
      </c>
      <c r="G39" s="46">
        <f t="shared" ref="G39:AC39" si="16">G31*$L$10</f>
        <v>0</v>
      </c>
      <c r="H39" s="46">
        <f t="shared" si="16"/>
        <v>0</v>
      </c>
      <c r="I39" s="46">
        <f t="shared" si="16"/>
        <v>0</v>
      </c>
      <c r="J39" s="46">
        <f t="shared" si="16"/>
        <v>107492.94275324259</v>
      </c>
      <c r="K39" s="46">
        <f t="shared" si="16"/>
        <v>0</v>
      </c>
      <c r="L39" s="46">
        <f t="shared" si="16"/>
        <v>0</v>
      </c>
      <c r="M39" s="46">
        <f t="shared" si="16"/>
        <v>0</v>
      </c>
      <c r="N39" s="46">
        <f t="shared" si="16"/>
        <v>0</v>
      </c>
      <c r="O39" s="46">
        <f t="shared" si="16"/>
        <v>0</v>
      </c>
      <c r="P39" s="46">
        <f t="shared" si="16"/>
        <v>0</v>
      </c>
      <c r="Q39" s="46">
        <f t="shared" si="16"/>
        <v>0</v>
      </c>
      <c r="R39" s="46">
        <f t="shared" si="16"/>
        <v>0</v>
      </c>
      <c r="S39" s="46">
        <f t="shared" si="16"/>
        <v>0</v>
      </c>
      <c r="T39" s="46">
        <f t="shared" si="16"/>
        <v>0</v>
      </c>
      <c r="U39" s="46">
        <f t="shared" si="16"/>
        <v>0</v>
      </c>
      <c r="V39" s="46">
        <f t="shared" si="16"/>
        <v>0</v>
      </c>
      <c r="W39" s="46">
        <f t="shared" si="16"/>
        <v>0</v>
      </c>
      <c r="X39" s="46">
        <f t="shared" si="16"/>
        <v>0</v>
      </c>
      <c r="Y39" s="46">
        <f t="shared" si="16"/>
        <v>0</v>
      </c>
      <c r="Z39" s="46">
        <f t="shared" si="16"/>
        <v>0</v>
      </c>
      <c r="AA39" s="46">
        <f t="shared" si="16"/>
        <v>0</v>
      </c>
      <c r="AB39" s="46">
        <f t="shared" si="16"/>
        <v>0</v>
      </c>
      <c r="AC39" s="46">
        <f t="shared" si="16"/>
        <v>0</v>
      </c>
    </row>
    <row r="40" spans="2:29" x14ac:dyDescent="0.25">
      <c r="C40" s="23" t="str">
        <f t="shared" si="14"/>
        <v>Total Cash Flow:</v>
      </c>
      <c r="D40" s="24"/>
      <c r="E40" s="25"/>
      <c r="F40" s="47">
        <f>SUM(F37:F39)</f>
        <v>-100000</v>
      </c>
      <c r="G40" s="47">
        <f t="shared" ref="G40:AC40" si="17">SUM(G37:G39)</f>
        <v>500</v>
      </c>
      <c r="H40" s="47">
        <f t="shared" si="17"/>
        <v>500</v>
      </c>
      <c r="I40" s="47">
        <f t="shared" si="17"/>
        <v>500</v>
      </c>
      <c r="J40" s="47">
        <f t="shared" si="17"/>
        <v>107992.94275324259</v>
      </c>
      <c r="K40" s="47">
        <f t="shared" si="17"/>
        <v>0</v>
      </c>
      <c r="L40" s="47">
        <f t="shared" si="17"/>
        <v>0</v>
      </c>
      <c r="M40" s="47">
        <f t="shared" si="17"/>
        <v>0</v>
      </c>
      <c r="N40" s="47">
        <f t="shared" si="17"/>
        <v>0</v>
      </c>
      <c r="O40" s="47">
        <f t="shared" si="17"/>
        <v>0</v>
      </c>
      <c r="P40" s="47">
        <f t="shared" si="17"/>
        <v>0</v>
      </c>
      <c r="Q40" s="47">
        <f t="shared" si="17"/>
        <v>0</v>
      </c>
      <c r="R40" s="47">
        <f t="shared" si="17"/>
        <v>0</v>
      </c>
      <c r="S40" s="47">
        <f t="shared" si="17"/>
        <v>0</v>
      </c>
      <c r="T40" s="47">
        <f t="shared" si="17"/>
        <v>0</v>
      </c>
      <c r="U40" s="47">
        <f t="shared" si="17"/>
        <v>0</v>
      </c>
      <c r="V40" s="47">
        <f t="shared" si="17"/>
        <v>0</v>
      </c>
      <c r="W40" s="47">
        <f t="shared" si="17"/>
        <v>0</v>
      </c>
      <c r="X40" s="47">
        <f t="shared" si="17"/>
        <v>0</v>
      </c>
      <c r="Y40" s="47">
        <f t="shared" si="17"/>
        <v>0</v>
      </c>
      <c r="Z40" s="47">
        <f t="shared" si="17"/>
        <v>0</v>
      </c>
      <c r="AA40" s="47">
        <f t="shared" si="17"/>
        <v>0</v>
      </c>
      <c r="AB40" s="47">
        <f t="shared" si="17"/>
        <v>0</v>
      </c>
      <c r="AC40" s="47">
        <f t="shared" si="17"/>
        <v>0</v>
      </c>
    </row>
  </sheetData>
  <dataValidations count="3">
    <dataValidation type="list" allowBlank="1" showInputMessage="1" showErrorMessage="1" sqref="G18" xr:uid="{C37FF319-D6E9-48E7-B878-B48C9B2AA886}">
      <formula1>$G$19:$G$20</formula1>
    </dataValidation>
    <dataValidation type="whole" allowBlank="1" showInputMessage="1" showErrorMessage="1" sqref="G11" xr:uid="{4B7A8687-6CF8-4599-B6F6-DF1505E708D3}">
      <formula1>1</formula1>
      <formula2>10</formula2>
    </dataValidation>
    <dataValidation type="date" operator="greaterThan" allowBlank="1" showInputMessage="1" showErrorMessage="1" sqref="G14" xr:uid="{CE3E280E-0519-45ED-AAAD-AA12DBE02CA4}">
      <formula1>G9</formula1>
    </dataValidation>
  </dataValidation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Bonds</vt:lpstr>
      <vt:lpstr>Bond_Par_Value</vt:lpstr>
      <vt:lpstr>Bond_Price</vt:lpstr>
      <vt:lpstr>Bond_Redemption_Pct</vt:lpstr>
      <vt:lpstr>Coupon_Rate</vt:lpstr>
      <vt:lpstr>Discount_Rate</vt:lpstr>
      <vt:lpstr>Exit_Date</vt:lpstr>
      <vt:lpstr>Exit_First</vt:lpstr>
      <vt:lpstr>Frequency</vt:lpstr>
      <vt:lpstr>Maturity_Date</vt:lpstr>
      <vt:lpstr>Num_Years</vt:lpstr>
      <vt:lpstr>Bonds!Print_Area</vt:lpstr>
      <vt:lpstr>Purchase_Date</vt:lpstr>
      <vt:lpstr>YTM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cp:lastPrinted>2016-06-08T21:07:49Z</cp:lastPrinted>
  <dcterms:created xsi:type="dcterms:W3CDTF">2014-03-07T00:48:59Z</dcterms:created>
  <dcterms:modified xsi:type="dcterms:W3CDTF">2023-01-25T20:11:07Z</dcterms:modified>
</cp:coreProperties>
</file>