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xl/webextensions/webextension3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BIWS)\BIWS-All-Courses\100-Bonus-Case-Studies\DCM-LevFin\Yield-to-Maturity-Formula\"/>
    </mc:Choice>
  </mc:AlternateContent>
  <bookViews>
    <workbookView xWindow="0" yWindow="0" windowWidth="15135" windowHeight="8895"/>
  </bookViews>
  <sheets>
    <sheet name="Bonds" sheetId="19" r:id="rId1"/>
  </sheets>
  <definedNames>
    <definedName name="Bond_Par_Value">Bonds!$F$7</definedName>
    <definedName name="Bond_Price">Bonds!$F$10</definedName>
    <definedName name="Bond_Redemption_Pct">Bonds!$F$19</definedName>
    <definedName name="Call_Date">Bonds!$F$18</definedName>
    <definedName name="CIQWBGuid" hidden="1">"fedf60f8-2cd9-49ba-9fee-91fc372c3a0f"</definedName>
    <definedName name="Coupon_Rate">Bonds!$F$15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"08/30/2015 13:55:30"</definedName>
    <definedName name="IQ_QTD" hidden="1">750000</definedName>
    <definedName name="IQ_TODAY" hidden="1">0</definedName>
    <definedName name="IQ_YTDMONTH" hidden="1">130000</definedName>
    <definedName name="Maturity_Date">Bonds!$F$16</definedName>
    <definedName name="Num_Coupons">Bonds!$F$12</definedName>
    <definedName name="_xlnm.Print_Area" localSheetId="0">Bonds!$A$1:$Q$28</definedName>
    <definedName name="Settlement_Date">Bonds!$F$14</definedName>
    <definedName name="YTM">Bonds!$K$9</definedName>
  </definedNames>
  <calcPr calcId="162913" calcMode="autoNoTable" iterate="1"/>
  <webPublishing vml="1" allowPng="1" targetScreenSize="1920x1200" dpi="120" codePage="1252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K18" i="19" l="1"/>
  <c r="K9" i="19"/>
  <c r="F26" i="19"/>
  <c r="F10" i="19"/>
  <c r="K11" i="19" s="1"/>
  <c r="K19" i="19" l="1"/>
  <c r="F25" i="19" l="1"/>
  <c r="F24" i="19" l="1"/>
  <c r="F27" i="19" s="1"/>
  <c r="K7" i="19" l="1"/>
  <c r="G22" i="19" l="1"/>
  <c r="G26" i="19" s="1"/>
  <c r="H22" i="19" l="1"/>
  <c r="H26" i="19" s="1"/>
  <c r="G25" i="19"/>
  <c r="G24" i="19"/>
  <c r="G27" i="19" l="1"/>
  <c r="I22" i="19"/>
  <c r="I26" i="19" s="1"/>
  <c r="H25" i="19"/>
  <c r="H24" i="19"/>
  <c r="H27" i="19" l="1"/>
  <c r="J22" i="19"/>
  <c r="J26" i="19" s="1"/>
  <c r="I25" i="19"/>
  <c r="I24" i="19"/>
  <c r="I27" i="19" l="1"/>
  <c r="K22" i="19"/>
  <c r="K26" i="19" s="1"/>
  <c r="J25" i="19"/>
  <c r="J24" i="19"/>
  <c r="J27" i="19" l="1"/>
  <c r="L22" i="19"/>
  <c r="L26" i="19" s="1"/>
  <c r="K25" i="19"/>
  <c r="K24" i="19"/>
  <c r="K27" i="19" l="1"/>
  <c r="M22" i="19"/>
  <c r="M26" i="19" s="1"/>
  <c r="L24" i="19"/>
  <c r="L25" i="19"/>
  <c r="N22" i="19" l="1"/>
  <c r="N26" i="19" s="1"/>
  <c r="M25" i="19"/>
  <c r="M24" i="19"/>
  <c r="L27" i="19"/>
  <c r="M27" i="19" l="1"/>
  <c r="O22" i="19"/>
  <c r="O26" i="19" s="1"/>
  <c r="N25" i="19"/>
  <c r="N24" i="19"/>
  <c r="N27" i="19" l="1"/>
  <c r="O25" i="19"/>
  <c r="O24" i="19"/>
  <c r="P22" i="19"/>
  <c r="P26" i="19" s="1"/>
  <c r="O27" i="19" l="1"/>
  <c r="P24" i="19"/>
  <c r="P25" i="19"/>
  <c r="P27" i="19" l="1"/>
  <c r="K10" i="19" s="1"/>
</calcChain>
</file>

<file path=xl/sharedStrings.xml><?xml version="1.0" encoding="utf-8"?>
<sst xmlns="http://schemas.openxmlformats.org/spreadsheetml/2006/main" count="25" uniqueCount="25">
  <si>
    <t>Historical</t>
  </si>
  <si>
    <t>Projected</t>
  </si>
  <si>
    <t>($ USD in Millions Except Per Share Amounts in USD as Stated)</t>
  </si>
  <si>
    <t>Bond Yield and Pricing Assumptions:</t>
  </si>
  <si>
    <t>Bond Coupon Rate:</t>
  </si>
  <si>
    <t>Bond Maturity:</t>
  </si>
  <si>
    <t>Interest and Principal Payments:</t>
  </si>
  <si>
    <t>Bond Principal or Par Value:</t>
  </si>
  <si>
    <t>Current Yield:</t>
  </si>
  <si>
    <t>Yield to Maturity (YTM):</t>
  </si>
  <si>
    <t>Settlement Date:</t>
  </si>
  <si>
    <t>(+) Future Interest Payments:</t>
  </si>
  <si>
    <t>(+) Future Principal Repayments:</t>
  </si>
  <si>
    <t>(-) Initial Investment:</t>
  </si>
  <si>
    <t>Total Cash Flow:</t>
  </si>
  <si>
    <t>Internal Rate of Return (IRR):</t>
  </si>
  <si>
    <t>Approximate Yield to Maturity:</t>
  </si>
  <si>
    <t>Trading Price @ Settlement:</t>
  </si>
  <si>
    <t>Bond Price @ Settlement:</t>
  </si>
  <si>
    <t># of Interest Coupons per Year:</t>
  </si>
  <si>
    <t>Early Call Date:</t>
  </si>
  <si>
    <t>Yield to Call (YTC):</t>
  </si>
  <si>
    <t>Approximate Yield to Call:</t>
  </si>
  <si>
    <t>Bond Redemption Price % Par Value:</t>
  </si>
  <si>
    <t>Bonds - Yield to Maturity (YTM) Approximations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</si>
</sst>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FY&quot;yy"/>
    <numFmt numFmtId="165" formatCode="0.0%"/>
    <numFmt numFmtId="166" formatCode="_(&quot;$&quot;* #,##0.0_);_(&quot;$&quot;* \(#,##0.0\);_(&quot;$&quot;* &quot;-&quot;?_);_(@_)"/>
    <numFmt numFmtId="167" formatCode="_(* #,##0.0_);_(* \(#,##0.0\);_(* &quot;-&quot;?_);_(@_)"/>
    <numFmt numFmtId="168" formatCode="yyyy\-mm\-dd"/>
    <numFmt numFmtId="169" formatCode="&quot;Yes&quot;;&quot;ERROR&quot;;&quot;No&quot;;&quot;ERROR&quot;"/>
    <numFmt numFmtId="170" formatCode="0.000%"/>
    <numFmt numFmtId="171" formatCode="0.000%;\(0.000%\)"/>
    <numFmt numFmtId="173" formatCode="0.0_);\(0.0\)"/>
    <numFmt numFmtId="174" formatCode="0.0%;\(0.0%\)"/>
    <numFmt numFmtId="175" formatCode="0_);\(0\)"/>
    <numFmt numFmtId="177" formatCode="0.0000%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2">
    <xf numFmtId="0" fontId="0" fillId="0" borderId="0"/>
    <xf numFmtId="0" fontId="11" fillId="2" borderId="3" applyNumberFormat="0" applyAlignment="0" applyProtection="0"/>
    <xf numFmtId="0" fontId="15" fillId="0" borderId="0"/>
    <xf numFmtId="0" fontId="7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  <xf numFmtId="0" fontId="15" fillId="0" borderId="0"/>
    <xf numFmtId="0" fontId="3" fillId="0" borderId="0"/>
    <xf numFmtId="0" fontId="3" fillId="5" borderId="3" applyNumberFormat="0" applyFont="0" applyAlignment="0" applyProtection="0"/>
  </cellStyleXfs>
  <cellXfs count="49">
    <xf numFmtId="0" fontId="0" fillId="0" borderId="0" xfId="0"/>
    <xf numFmtId="0" fontId="8" fillId="3" borderId="2" xfId="0" applyFont="1" applyFill="1" applyBorder="1" applyAlignment="1"/>
    <xf numFmtId="0" fontId="17" fillId="4" borderId="2" xfId="0" applyFont="1" applyFill="1" applyBorder="1"/>
    <xf numFmtId="0" fontId="18" fillId="4" borderId="2" xfId="0" applyFont="1" applyFill="1" applyBorder="1"/>
    <xf numFmtId="0" fontId="19" fillId="4" borderId="2" xfId="0" applyFont="1" applyFill="1" applyBorder="1"/>
    <xf numFmtId="0" fontId="18" fillId="4" borderId="2" xfId="0" applyFont="1" applyFill="1" applyBorder="1" applyAlignment="1"/>
    <xf numFmtId="168" fontId="9" fillId="2" borderId="3" xfId="0" applyNumberFormat="1" applyFont="1" applyFill="1" applyBorder="1" applyAlignment="1">
      <alignment horizontal="center"/>
    </xf>
    <xf numFmtId="0" fontId="13" fillId="0" borderId="0" xfId="2" applyFont="1"/>
    <xf numFmtId="0" fontId="20" fillId="0" borderId="0" xfId="6" applyFont="1" applyBorder="1"/>
    <xf numFmtId="0" fontId="0" fillId="0" borderId="0" xfId="0" applyAlignment="1">
      <alignment horizontal="left" indent="1"/>
    </xf>
    <xf numFmtId="166" fontId="11" fillId="2" borderId="3" xfId="1" applyNumberFormat="1" applyAlignment="1">
      <alignment horizontal="centerContinuous"/>
    </xf>
    <xf numFmtId="171" fontId="11" fillId="2" borderId="3" xfId="1" applyNumberFormat="1" applyFont="1" applyAlignment="1"/>
    <xf numFmtId="170" fontId="14" fillId="0" borderId="0" xfId="1" applyNumberFormat="1" applyFont="1" applyFill="1" applyBorder="1" applyAlignment="1"/>
    <xf numFmtId="164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Continuous"/>
    </xf>
    <xf numFmtId="0" fontId="16" fillId="0" borderId="1" xfId="0" applyFont="1" applyBorder="1"/>
    <xf numFmtId="166" fontId="16" fillId="0" borderId="1" xfId="0" applyNumberFormat="1" applyFont="1" applyBorder="1"/>
    <xf numFmtId="0" fontId="16" fillId="0" borderId="0" xfId="6" applyFont="1" applyBorder="1"/>
    <xf numFmtId="0" fontId="0" fillId="0" borderId="1" xfId="0" applyBorder="1"/>
    <xf numFmtId="166" fontId="16" fillId="0" borderId="0" xfId="0" applyNumberFormat="1" applyFont="1"/>
    <xf numFmtId="0" fontId="10" fillId="0" borderId="0" xfId="10" applyFont="1"/>
    <xf numFmtId="0" fontId="3" fillId="0" borderId="0" xfId="10"/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/>
    <xf numFmtId="169" fontId="2" fillId="0" borderId="0" xfId="0" applyNumberFormat="1" applyFont="1" applyAlignment="1">
      <alignment horizontal="center"/>
    </xf>
    <xf numFmtId="167" fontId="2" fillId="0" borderId="0" xfId="0" applyNumberFormat="1" applyFont="1"/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/>
    <xf numFmtId="0" fontId="0" fillId="0" borderId="0" xfId="6" applyFont="1" applyBorder="1"/>
    <xf numFmtId="170" fontId="2" fillId="0" borderId="0" xfId="0" applyNumberFormat="1" applyFont="1" applyBorder="1"/>
    <xf numFmtId="0" fontId="2" fillId="0" borderId="0" xfId="10" applyFont="1"/>
    <xf numFmtId="166" fontId="0" fillId="0" borderId="1" xfId="0" applyNumberFormat="1" applyBorder="1"/>
    <xf numFmtId="0" fontId="12" fillId="3" borderId="4" xfId="0" applyFont="1" applyFill="1" applyBorder="1" applyAlignment="1">
      <alignment horizontal="centerContinuous"/>
    </xf>
    <xf numFmtId="164" fontId="12" fillId="3" borderId="5" xfId="0" applyNumberFormat="1" applyFont="1" applyFill="1" applyBorder="1" applyAlignment="1">
      <alignment horizontal="center"/>
    </xf>
    <xf numFmtId="165" fontId="0" fillId="0" borderId="0" xfId="0" applyNumberFormat="1"/>
    <xf numFmtId="173" fontId="11" fillId="2" borderId="3" xfId="1" applyNumberFormat="1" applyFont="1" applyAlignment="1"/>
    <xf numFmtId="167" fontId="3" fillId="0" borderId="0" xfId="10" applyNumberFormat="1"/>
    <xf numFmtId="0" fontId="1" fillId="0" borderId="0" xfId="10" applyFont="1" applyAlignment="1">
      <alignment horizontal="left" indent="1"/>
    </xf>
    <xf numFmtId="174" fontId="11" fillId="2" borderId="3" xfId="1" applyNumberFormat="1" applyFont="1" applyAlignment="1"/>
    <xf numFmtId="0" fontId="1" fillId="0" borderId="0" xfId="10" applyFont="1"/>
    <xf numFmtId="175" fontId="11" fillId="2" borderId="3" xfId="1" applyNumberFormat="1" applyFont="1" applyAlignment="1"/>
    <xf numFmtId="0" fontId="3" fillId="0" borderId="0" xfId="10" applyBorder="1"/>
    <xf numFmtId="167" fontId="2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177" fontId="0" fillId="0" borderId="0" xfId="0" applyNumberFormat="1"/>
  </cellXfs>
  <cellStyles count="12">
    <cellStyle name="Normal" xfId="0" builtinId="0" customBuiltin="1"/>
    <cellStyle name="Normal 2" xfId="2"/>
    <cellStyle name="Normal 2 2 2" xfId="9"/>
    <cellStyle name="Normal 3" xfId="3"/>
    <cellStyle name="Normal 3 2" xfId="5"/>
    <cellStyle name="Normal 3 4" xfId="8"/>
    <cellStyle name="Normal 4" xfId="4"/>
    <cellStyle name="Normal 5" xfId="6"/>
    <cellStyle name="Normal 5 3" xfId="7"/>
    <cellStyle name="Normal 6" xfId="10"/>
    <cellStyle name="Note" xfId="1" builtinId="10" customBuiltin="1"/>
    <cellStyle name="Note 2" xfId="11"/>
  </cellStyles>
  <dxfs count="0"/>
  <tableStyles count="0" defaultTableStyle="TableStyleMedium2" defaultPivotStyle="PivotStyleLight16"/>
  <colors>
    <mruColors>
      <color rgb="FF0000FF"/>
      <color rgb="FFFFFF99"/>
      <color rgb="FF007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3" Type="http://schemas.microsoft.com/office/2011/relationships/webextension" Target="webextension3.xml"/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  <wetp:taskpane dockstate="right" visibility="0" width="350" row="2">
    <wetp:webextensionref xmlns:r="http://schemas.openxmlformats.org/officeDocument/2006/relationships" r:id="rId2"/>
  </wetp:taskpane>
  <wetp:taskpane dockstate="right" visibility="0" width="350" row="1">
    <wetp:webextensionref xmlns:r="http://schemas.openxmlformats.org/officeDocument/2006/relationships" r:id="rId3"/>
  </wetp:taskpane>
</wetp:taskpanes>
</file>

<file path=xl/webextensions/webextension1.xml><?xml version="1.0" encoding="utf-8"?>
<we:webextension xmlns:we="http://schemas.microsoft.com/office/webextensions/webextension/2010/11" id="{50058A03-AB42-4A06-B37A-6054E5FFA227}">
  <we:reference id="wa104126656" version="1.0.0.0" store="en-US" storeType="OMEX"/>
  <we:alternateReferences>
    <we:reference id="WA104126656" version="1.0.0.0" store="WA104126656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B0913D7F-8052-4794-A48B-44B2FFF18D97}">
  <we:reference id="wa104175802" version="1.0.0.0" store="en-US" storeType="OMEX"/>
  <we:alternateReferences>
    <we:reference id="WA104175802" version="1.0.0.0" store="WA104175802" storeType="OMEX"/>
  </we:alternateReferences>
  <we:properties/>
  <we:bindings/>
  <we:snapshot xmlns:r="http://schemas.openxmlformats.org/officeDocument/2006/relationships"/>
</we:webextension>
</file>

<file path=xl/webextensions/webextension3.xml><?xml version="1.0" encoding="utf-8"?>
<we:webextension xmlns:we="http://schemas.microsoft.com/office/webextensions/webextension/2010/11" id="{0FED1EFC-6986-4C36-8723-49F04601774E}">
  <we:reference id="wa102925879" version="1.2.0.0" store="en-US" storeType="OMEX"/>
  <we:alternateReferences>
    <we:reference id="WA102925879" version="1.2.0.0" store="WA102925879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P32"/>
  <sheetViews>
    <sheetView showGridLines="0" tabSelected="1" zoomScale="115" zoomScaleNormal="115" workbookViewId="0">
      <selection activeCell="B2" sqref="B2"/>
    </sheetView>
  </sheetViews>
  <sheetFormatPr defaultRowHeight="15" x14ac:dyDescent="0.25"/>
  <cols>
    <col min="1" max="2" width="2.7109375" style="21" customWidth="1"/>
    <col min="3" max="16" width="15.7109375" style="21" customWidth="1"/>
    <col min="17" max="17" width="2.7109375" style="21" customWidth="1"/>
    <col min="18" max="24" width="13.7109375" style="21" customWidth="1"/>
    <col min="25" max="16384" width="9.140625" style="21"/>
  </cols>
  <sheetData>
    <row r="2" spans="2:16" ht="18.75" x14ac:dyDescent="0.3">
      <c r="B2" s="20" t="s">
        <v>24</v>
      </c>
    </row>
    <row r="3" spans="2:16" x14ac:dyDescent="0.25">
      <c r="B3" s="7" t="s">
        <v>2</v>
      </c>
    </row>
    <row r="5" spans="2:16" x14ac:dyDescent="0.25">
      <c r="B5" s="2" t="s">
        <v>3</v>
      </c>
      <c r="C5" s="3"/>
      <c r="D5" s="4"/>
      <c r="E5" s="4"/>
      <c r="F5" s="5"/>
      <c r="G5" s="5"/>
      <c r="H5" s="5"/>
      <c r="I5" s="5"/>
      <c r="J5" s="5"/>
      <c r="K5" s="4"/>
      <c r="L5" s="5"/>
      <c r="M5" s="5"/>
      <c r="N5" s="5"/>
      <c r="O5" s="5"/>
      <c r="P5" s="5"/>
    </row>
    <row r="6" spans="2:16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2:16" x14ac:dyDescent="0.25">
      <c r="B7"/>
      <c r="C7" s="32" t="s">
        <v>7</v>
      </c>
      <c r="D7" s="8"/>
      <c r="E7" s="8"/>
      <c r="F7" s="10">
        <v>1000</v>
      </c>
      <c r="G7"/>
      <c r="H7" s="32" t="s">
        <v>8</v>
      </c>
      <c r="J7"/>
      <c r="K7" s="33">
        <f>+Coupon_Rate*Bond_Par_Value/Bond_Price</f>
        <v>5.5555555555555552E-2</v>
      </c>
      <c r="L7"/>
      <c r="M7"/>
      <c r="N7"/>
      <c r="O7"/>
    </row>
    <row r="8" spans="2:16" x14ac:dyDescent="0.25">
      <c r="B8"/>
      <c r="C8" s="41" t="s">
        <v>17</v>
      </c>
      <c r="F8" s="42">
        <v>0.9</v>
      </c>
      <c r="G8"/>
      <c r="H8"/>
      <c r="I8"/>
      <c r="J8"/>
      <c r="K8"/>
      <c r="L8"/>
      <c r="M8"/>
      <c r="N8"/>
      <c r="O8"/>
    </row>
    <row r="9" spans="2:16" x14ac:dyDescent="0.25">
      <c r="B9"/>
      <c r="C9"/>
      <c r="D9"/>
      <c r="E9"/>
      <c r="F9"/>
      <c r="G9"/>
      <c r="H9" s="32" t="s">
        <v>9</v>
      </c>
      <c r="I9"/>
      <c r="J9"/>
      <c r="K9" s="33">
        <f>YIELD(Settlement_Date,Maturity_Date,Coupon_Rate,Bond_Price/Bond_Par_Value*100,100,Num_Coupons,1)</f>
        <v>6.3834710222820196E-2</v>
      </c>
      <c r="L9"/>
      <c r="M9"/>
      <c r="N9"/>
      <c r="O9"/>
    </row>
    <row r="10" spans="2:16" x14ac:dyDescent="0.25">
      <c r="B10"/>
      <c r="C10" s="17" t="s">
        <v>18</v>
      </c>
      <c r="D10" s="8"/>
      <c r="E10" s="8"/>
      <c r="F10" s="19">
        <f>+F8*Bond_Par_Value</f>
        <v>900</v>
      </c>
      <c r="G10"/>
      <c r="H10" s="32" t="s">
        <v>15</v>
      </c>
      <c r="I10"/>
      <c r="J10"/>
      <c r="K10" s="33">
        <f>IRR(F27:P27)</f>
        <v>6.3834710233024339E-2</v>
      </c>
      <c r="L10"/>
      <c r="M10"/>
      <c r="N10"/>
      <c r="O10"/>
    </row>
    <row r="11" spans="2:16" x14ac:dyDescent="0.25">
      <c r="B11"/>
      <c r="C11"/>
      <c r="D11"/>
      <c r="E11"/>
      <c r="F11"/>
      <c r="G11"/>
      <c r="H11" s="32" t="s">
        <v>16</v>
      </c>
      <c r="I11" s="8"/>
      <c r="J11" s="8"/>
      <c r="K11" s="33">
        <f>(Bond_Par_Value*Coupon_Rate+(Bond_Par_Value-Bond_Price)/(YEAR(Maturity_Date)-YEAR(Settlement_Date)))/((Bond_Par_Value+Bond_Price)/2)</f>
        <v>6.3157894736842107E-2</v>
      </c>
      <c r="L11"/>
      <c r="M11"/>
      <c r="N11"/>
      <c r="O11"/>
    </row>
    <row r="12" spans="2:16" x14ac:dyDescent="0.25">
      <c r="B12"/>
      <c r="C12" s="43" t="s">
        <v>19</v>
      </c>
      <c r="F12" s="44">
        <v>1</v>
      </c>
      <c r="G12"/>
      <c r="L12"/>
      <c r="M12"/>
      <c r="N12"/>
      <c r="O12"/>
    </row>
    <row r="13" spans="2:16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2:16" x14ac:dyDescent="0.25">
      <c r="B14"/>
      <c r="C14" s="34" t="s">
        <v>10</v>
      </c>
      <c r="F14" s="6">
        <v>42004</v>
      </c>
      <c r="L14" s="9"/>
      <c r="M14"/>
      <c r="N14"/>
      <c r="O14"/>
    </row>
    <row r="15" spans="2:16" x14ac:dyDescent="0.25">
      <c r="B15"/>
      <c r="C15" s="32" t="s">
        <v>4</v>
      </c>
      <c r="D15" s="8"/>
      <c r="E15" s="8"/>
      <c r="F15" s="11">
        <v>0.05</v>
      </c>
      <c r="L15" s="9"/>
      <c r="M15" s="33"/>
      <c r="N15"/>
      <c r="O15"/>
    </row>
    <row r="16" spans="2:16" x14ac:dyDescent="0.25">
      <c r="B16"/>
      <c r="C16" s="32" t="s">
        <v>5</v>
      </c>
      <c r="D16" s="8"/>
      <c r="E16" s="8"/>
      <c r="F16" s="6">
        <v>45657</v>
      </c>
      <c r="H16" s="24"/>
      <c r="I16" s="45"/>
      <c r="J16" s="45"/>
      <c r="K16" s="46"/>
      <c r="L16" s="9"/>
      <c r="M16"/>
      <c r="N16"/>
      <c r="O16"/>
    </row>
    <row r="17" spans="2:16" x14ac:dyDescent="0.25">
      <c r="B17"/>
      <c r="L17" s="9"/>
      <c r="M17"/>
      <c r="N17"/>
      <c r="O17"/>
    </row>
    <row r="18" spans="2:16" x14ac:dyDescent="0.25">
      <c r="B18"/>
      <c r="C18" s="43" t="s">
        <v>20</v>
      </c>
      <c r="F18" s="6">
        <v>43100</v>
      </c>
      <c r="G18" s="8"/>
      <c r="H18" s="32" t="s">
        <v>21</v>
      </c>
      <c r="I18" s="8"/>
      <c r="J18" s="8"/>
      <c r="K18" s="33">
        <f>YIELD(Settlement_Date,Call_Date,Coupon_Rate,Bond_Price/Bond_Par_Value*100,Bond_Redemption_Pct,Num_Coupons,1)</f>
        <v>9.9226989244432781E-2</v>
      </c>
      <c r="L18" s="9"/>
      <c r="M18" s="48"/>
      <c r="N18"/>
      <c r="O18"/>
    </row>
    <row r="19" spans="2:16" x14ac:dyDescent="0.25">
      <c r="B19"/>
      <c r="C19" s="32" t="s">
        <v>23</v>
      </c>
      <c r="D19" s="8"/>
      <c r="E19" s="8"/>
      <c r="F19" s="39">
        <v>103</v>
      </c>
      <c r="G19" s="8"/>
      <c r="H19" s="47" t="s">
        <v>22</v>
      </c>
      <c r="K19" s="33">
        <f>(Bond_Par_Value*Coupon_Rate+(Bond_Par_Value*Bond_Redemption_Pct/100-Bond_Price)/(YEAR(Call_Date)-YEAR(Settlement_Date)))/((Bond_Par_Value*Bond_Redemption_Pct/100+Bond_Price)/2)</f>
        <v>9.6718480138169263E-2</v>
      </c>
      <c r="L19" s="9"/>
      <c r="M19" s="33"/>
      <c r="N19"/>
      <c r="O19"/>
    </row>
    <row r="20" spans="2:16" x14ac:dyDescent="0.25">
      <c r="B20"/>
      <c r="C20" s="17"/>
      <c r="D20"/>
      <c r="E20"/>
      <c r="F20" s="33"/>
      <c r="G20"/>
      <c r="H20"/>
      <c r="I20"/>
      <c r="J20"/>
      <c r="K20"/>
      <c r="L20"/>
      <c r="M20"/>
      <c r="N20"/>
      <c r="O20"/>
    </row>
    <row r="21" spans="2:16" x14ac:dyDescent="0.25">
      <c r="B21"/>
      <c r="C21" s="23"/>
      <c r="D21" s="23"/>
      <c r="E21" s="23"/>
      <c r="F21" s="36" t="s">
        <v>0</v>
      </c>
      <c r="G21" s="14" t="s">
        <v>1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2:16" x14ac:dyDescent="0.25">
      <c r="B22"/>
      <c r="C22" s="1" t="s">
        <v>6</v>
      </c>
      <c r="D22" s="22"/>
      <c r="E22" s="22"/>
      <c r="F22" s="37">
        <v>42004</v>
      </c>
      <c r="G22" s="13">
        <f>EOMONTH(F22,12)</f>
        <v>42369</v>
      </c>
      <c r="H22" s="13">
        <f t="shared" ref="H22:P22" si="0">EOMONTH(G22,12)</f>
        <v>42735</v>
      </c>
      <c r="I22" s="13">
        <f t="shared" si="0"/>
        <v>43100</v>
      </c>
      <c r="J22" s="13">
        <f t="shared" si="0"/>
        <v>43465</v>
      </c>
      <c r="K22" s="13">
        <f t="shared" si="0"/>
        <v>43830</v>
      </c>
      <c r="L22" s="13">
        <f t="shared" si="0"/>
        <v>44196</v>
      </c>
      <c r="M22" s="13">
        <f t="shared" si="0"/>
        <v>44561</v>
      </c>
      <c r="N22" s="13">
        <f t="shared" si="0"/>
        <v>44926</v>
      </c>
      <c r="O22" s="13">
        <f t="shared" si="0"/>
        <v>45291</v>
      </c>
      <c r="P22" s="13">
        <f t="shared" si="0"/>
        <v>45657</v>
      </c>
    </row>
    <row r="23" spans="2:16" x14ac:dyDescent="0.25">
      <c r="B23"/>
      <c r="C23" s="24"/>
      <c r="D23" s="25"/>
      <c r="E23" s="25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x14ac:dyDescent="0.25">
      <c r="B24"/>
      <c r="C24" s="24" t="s">
        <v>13</v>
      </c>
      <c r="D24" s="25"/>
      <c r="E24" s="25"/>
      <c r="F24" s="31">
        <f t="shared" ref="F24:P24" si="1">IF(Settlement_Date=F22,-Bond_Price,0)</f>
        <v>-900</v>
      </c>
      <c r="G24" s="31">
        <f t="shared" si="1"/>
        <v>0</v>
      </c>
      <c r="H24" s="31">
        <f t="shared" si="1"/>
        <v>0</v>
      </c>
      <c r="I24" s="31">
        <f t="shared" si="1"/>
        <v>0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  <c r="N24" s="31">
        <f t="shared" si="1"/>
        <v>0</v>
      </c>
      <c r="O24" s="31">
        <f t="shared" si="1"/>
        <v>0</v>
      </c>
      <c r="P24" s="31">
        <f t="shared" si="1"/>
        <v>0</v>
      </c>
    </row>
    <row r="25" spans="2:16" x14ac:dyDescent="0.25">
      <c r="B25"/>
      <c r="C25" s="24" t="s">
        <v>11</v>
      </c>
      <c r="D25" s="28"/>
      <c r="E25" s="28"/>
      <c r="F25" s="27">
        <f t="shared" ref="F25:P25" si="2">IF(AND(F22&gt;Settlement_Date,F22&lt;=Maturity_Date),+Coupon_Rate*Bond_Par_Value,0)</f>
        <v>0</v>
      </c>
      <c r="G25" s="27">
        <f t="shared" si="2"/>
        <v>50</v>
      </c>
      <c r="H25" s="27">
        <f t="shared" si="2"/>
        <v>50</v>
      </c>
      <c r="I25" s="27">
        <f t="shared" si="2"/>
        <v>50</v>
      </c>
      <c r="J25" s="27">
        <f t="shared" si="2"/>
        <v>50</v>
      </c>
      <c r="K25" s="27">
        <f t="shared" si="2"/>
        <v>50</v>
      </c>
      <c r="L25" s="27">
        <f t="shared" si="2"/>
        <v>50</v>
      </c>
      <c r="M25" s="27">
        <f t="shared" si="2"/>
        <v>50</v>
      </c>
      <c r="N25" s="27">
        <f t="shared" si="2"/>
        <v>50</v>
      </c>
      <c r="O25" s="27">
        <f t="shared" si="2"/>
        <v>50</v>
      </c>
      <c r="P25" s="27">
        <f t="shared" si="2"/>
        <v>50</v>
      </c>
    </row>
    <row r="26" spans="2:16" x14ac:dyDescent="0.25">
      <c r="B26"/>
      <c r="C26" s="24" t="s">
        <v>12</v>
      </c>
      <c r="D26" s="29"/>
      <c r="E26" s="29"/>
      <c r="F26" s="27">
        <f>IF(Maturity_Date=F22,Bond_Par_Value,0)</f>
        <v>0</v>
      </c>
      <c r="G26" s="27">
        <f>IF(Maturity_Date=G22,Bond_Par_Value,0)</f>
        <v>0</v>
      </c>
      <c r="H26" s="27">
        <f>IF(Maturity_Date=H22,Bond_Par_Value,0)</f>
        <v>0</v>
      </c>
      <c r="I26" s="27">
        <f>IF(Maturity_Date=I22,Bond_Par_Value,0)</f>
        <v>0</v>
      </c>
      <c r="J26" s="27">
        <f>IF(Maturity_Date=J22,Bond_Par_Value,0)</f>
        <v>0</v>
      </c>
      <c r="K26" s="27">
        <f>IF(Maturity_Date=K22,Bond_Par_Value,0)</f>
        <v>0</v>
      </c>
      <c r="L26" s="27">
        <f>IF(Maturity_Date=L22,Bond_Par_Value,0)</f>
        <v>0</v>
      </c>
      <c r="M26" s="27">
        <f>IF(Maturity_Date=M22,Bond_Par_Value,0)</f>
        <v>0</v>
      </c>
      <c r="N26" s="27">
        <f>IF(Maturity_Date=N22,Bond_Par_Value,0)</f>
        <v>0</v>
      </c>
      <c r="O26" s="27">
        <f>IF(Maturity_Date=O22,Bond_Par_Value,0)</f>
        <v>0</v>
      </c>
      <c r="P26" s="27">
        <f>IF(Maturity_Date=P22,Bond_Par_Value,0)</f>
        <v>1000</v>
      </c>
    </row>
    <row r="27" spans="2:16" x14ac:dyDescent="0.25">
      <c r="B27"/>
      <c r="C27" s="15" t="s">
        <v>14</v>
      </c>
      <c r="D27" s="18"/>
      <c r="E27" s="35"/>
      <c r="F27" s="16">
        <f>SUM(F24:F26)</f>
        <v>-900</v>
      </c>
      <c r="G27" s="16">
        <f t="shared" ref="G27:P27" si="3">SUM(G24:G26)</f>
        <v>50</v>
      </c>
      <c r="H27" s="16">
        <f t="shared" si="3"/>
        <v>50</v>
      </c>
      <c r="I27" s="16">
        <f t="shared" si="3"/>
        <v>50</v>
      </c>
      <c r="J27" s="16">
        <f t="shared" si="3"/>
        <v>50</v>
      </c>
      <c r="K27" s="16">
        <f t="shared" si="3"/>
        <v>50</v>
      </c>
      <c r="L27" s="16">
        <f t="shared" si="3"/>
        <v>50</v>
      </c>
      <c r="M27" s="16">
        <f t="shared" si="3"/>
        <v>50</v>
      </c>
      <c r="N27" s="16">
        <f t="shared" si="3"/>
        <v>50</v>
      </c>
      <c r="O27" s="16">
        <f t="shared" si="3"/>
        <v>50</v>
      </c>
      <c r="P27" s="16">
        <f t="shared" si="3"/>
        <v>1050</v>
      </c>
    </row>
    <row r="28" spans="2:16" x14ac:dyDescent="0.25">
      <c r="B28"/>
      <c r="C28" s="30"/>
      <c r="E28" s="12"/>
      <c r="F28"/>
      <c r="G28"/>
      <c r="H28"/>
      <c r="I28"/>
      <c r="J28"/>
      <c r="K28"/>
      <c r="L28"/>
      <c r="M28"/>
      <c r="N28"/>
      <c r="O28"/>
    </row>
    <row r="29" spans="2:16" x14ac:dyDescent="0.25">
      <c r="B29"/>
      <c r="C29"/>
      <c r="D29"/>
      <c r="E29"/>
      <c r="G29" s="27"/>
      <c r="H29" s="38"/>
      <c r="I29" s="38"/>
      <c r="J29" s="38"/>
      <c r="K29" s="38"/>
      <c r="L29" s="38"/>
      <c r="M29" s="38"/>
      <c r="N29" s="38"/>
      <c r="O29" s="38"/>
      <c r="P29" s="38"/>
    </row>
    <row r="30" spans="2:16" x14ac:dyDescent="0.25">
      <c r="G30" s="27"/>
    </row>
    <row r="31" spans="2:16" x14ac:dyDescent="0.25">
      <c r="G31" s="40"/>
    </row>
    <row r="32" spans="2:16" x14ac:dyDescent="0.25">
      <c r="G32" s="33"/>
    </row>
  </sheetData>
  <dataValidations disablePrompts="1" count="3">
    <dataValidation type="list" allowBlank="1" showInputMessage="1" showErrorMessage="1" sqref="F16 F18">
      <formula1>$G$22:$P$22</formula1>
    </dataValidation>
    <dataValidation type="list" allowBlank="1" showInputMessage="1" showErrorMessage="1" sqref="F14">
      <formula1>$F$22:$O$22</formula1>
    </dataValidation>
    <dataValidation type="whole" allowBlank="1" showInputMessage="1" showErrorMessage="1" sqref="F12">
      <formula1>1</formula1>
      <formula2>4</formula2>
    </dataValidation>
  </dataValidation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Bonds</vt:lpstr>
      <vt:lpstr>Bond_Par_Value</vt:lpstr>
      <vt:lpstr>Bond_Price</vt:lpstr>
      <vt:lpstr>Bond_Redemption_Pct</vt:lpstr>
      <vt:lpstr>Call_Date</vt:lpstr>
      <vt:lpstr>Coupon_Rate</vt:lpstr>
      <vt:lpstr>Maturity_Date</vt:lpstr>
      <vt:lpstr>Num_Coupons</vt:lpstr>
      <vt:lpstr>Bonds!Print_Area</vt:lpstr>
      <vt:lpstr>Settlement_Date</vt:lpstr>
      <vt:lpstr>YTM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2016-06-08T21:07:49Z</cp:lastPrinted>
  <dcterms:created xsi:type="dcterms:W3CDTF">2014-03-07T00:48:59Z</dcterms:created>
  <dcterms:modified xsi:type="dcterms:W3CDTF">2016-07-05T15:58:55Z</dcterms:modified>
</cp:coreProperties>
</file>